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an Draeger\HSU\ERE 8\EISI REU\Assignments\"/>
    </mc:Choice>
  </mc:AlternateContent>
  <bookViews>
    <workbookView xWindow="0" yWindow="0" windowWidth="20490" windowHeight="7755"/>
  </bookViews>
  <sheets>
    <sheet name="RCG Measurements" sheetId="15" r:id="rId1"/>
    <sheet name="RCG Material Props." sheetId="14" r:id="rId2"/>
    <sheet name="Material Prop. Compare" sheetId="12" r:id="rId3"/>
    <sheet name="FBD &amp; EQNs" sheetId="1" r:id="rId4"/>
    <sheet name="Empty (No Veg. Patch)" sheetId="7" r:id="rId5"/>
    <sheet name="6x6 Patch" sheetId="5" r:id="rId6"/>
    <sheet name="9x6 Patch" sheetId="9" r:id="rId7"/>
    <sheet name="12x6 Patch" sheetId="10" r:id="rId8"/>
    <sheet name="6x6 HACH vs. ADV" sheetId="4" r:id="rId9"/>
    <sheet name="RESULTS" sheetId="11" r:id="rId10"/>
    <sheet name="FULLY DEVELOP" sheetId="8" r:id="rId11"/>
    <sheet name="Q's Flume " sheetId="13" r:id="rId12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5" l="1"/>
  <c r="D86" i="15"/>
  <c r="G85" i="15"/>
  <c r="D85" i="15"/>
  <c r="G84" i="15"/>
  <c r="D84" i="15"/>
  <c r="G83" i="15"/>
  <c r="D83" i="15"/>
  <c r="G82" i="15"/>
  <c r="D82" i="15"/>
  <c r="G81" i="15"/>
  <c r="D81" i="15"/>
  <c r="G80" i="15"/>
  <c r="D80" i="15"/>
  <c r="G79" i="15"/>
  <c r="D79" i="15"/>
  <c r="G78" i="15"/>
  <c r="D78" i="15"/>
  <c r="G77" i="15"/>
  <c r="D77" i="15"/>
  <c r="G76" i="15"/>
  <c r="D76" i="15"/>
  <c r="G75" i="15"/>
  <c r="D75" i="15"/>
  <c r="G74" i="15"/>
  <c r="D74" i="15"/>
  <c r="G73" i="15"/>
  <c r="D73" i="15"/>
  <c r="G72" i="15"/>
  <c r="D72" i="15"/>
  <c r="G71" i="15"/>
  <c r="D71" i="15"/>
  <c r="G70" i="15"/>
  <c r="D70" i="15"/>
  <c r="G69" i="15"/>
  <c r="D69" i="15"/>
  <c r="G68" i="15"/>
  <c r="D68" i="15"/>
  <c r="G67" i="15"/>
  <c r="D67" i="15"/>
  <c r="G66" i="15"/>
  <c r="D66" i="15"/>
  <c r="G65" i="15"/>
  <c r="D65" i="15"/>
  <c r="G64" i="15"/>
  <c r="D64" i="15"/>
  <c r="G63" i="15"/>
  <c r="D63" i="15"/>
  <c r="G62" i="15"/>
  <c r="D62" i="15"/>
  <c r="G61" i="15"/>
  <c r="D61" i="15"/>
  <c r="G60" i="15"/>
  <c r="D60" i="15"/>
  <c r="G59" i="15"/>
  <c r="D59" i="15"/>
  <c r="G58" i="15"/>
  <c r="D58" i="15"/>
  <c r="G57" i="15"/>
  <c r="D57" i="15"/>
  <c r="G56" i="15"/>
  <c r="D56" i="15"/>
  <c r="G55" i="15"/>
  <c r="D55" i="15"/>
  <c r="G54" i="15"/>
  <c r="D54" i="15"/>
  <c r="G53" i="15"/>
  <c r="D53" i="15"/>
  <c r="G52" i="15"/>
  <c r="D52" i="15"/>
  <c r="G51" i="15"/>
  <c r="D51" i="15"/>
  <c r="G50" i="15"/>
  <c r="D50" i="15"/>
  <c r="G49" i="15"/>
  <c r="D49" i="15"/>
  <c r="G48" i="15"/>
  <c r="D48" i="15"/>
  <c r="G47" i="15"/>
  <c r="D47" i="15"/>
  <c r="G46" i="15"/>
  <c r="D46" i="15"/>
  <c r="G45" i="15"/>
  <c r="D45" i="15"/>
  <c r="G44" i="15"/>
  <c r="D44" i="15"/>
  <c r="G43" i="15"/>
  <c r="D43" i="15"/>
  <c r="G42" i="15"/>
  <c r="D42" i="15"/>
  <c r="G41" i="15"/>
  <c r="D41" i="15"/>
  <c r="G40" i="15"/>
  <c r="D40" i="15"/>
  <c r="G39" i="15"/>
  <c r="D39" i="15"/>
  <c r="G38" i="15"/>
  <c r="D38" i="15"/>
  <c r="G37" i="15"/>
  <c r="D37" i="15"/>
  <c r="G36" i="15"/>
  <c r="D36" i="15"/>
  <c r="G35" i="15"/>
  <c r="D35" i="15"/>
  <c r="G34" i="15"/>
  <c r="D34" i="15"/>
  <c r="G33" i="15"/>
  <c r="D33" i="15"/>
  <c r="G32" i="15"/>
  <c r="D32" i="15"/>
  <c r="G31" i="15"/>
  <c r="D31" i="15"/>
  <c r="G30" i="15"/>
  <c r="D30" i="15"/>
  <c r="G29" i="15"/>
  <c r="D29" i="15"/>
  <c r="G28" i="15"/>
  <c r="D28" i="15"/>
  <c r="G27" i="15"/>
  <c r="D27" i="15"/>
  <c r="G26" i="15"/>
  <c r="D26" i="15"/>
  <c r="G25" i="15"/>
  <c r="D25" i="15"/>
  <c r="G24" i="15"/>
  <c r="D24" i="15"/>
  <c r="G23" i="15"/>
  <c r="D23" i="15"/>
  <c r="G22" i="15"/>
  <c r="D22" i="15"/>
  <c r="G21" i="15"/>
  <c r="D21" i="15"/>
  <c r="G20" i="15"/>
  <c r="D20" i="15"/>
  <c r="G19" i="15"/>
  <c r="D19" i="15"/>
  <c r="G18" i="15"/>
  <c r="D18" i="15"/>
  <c r="G17" i="15"/>
  <c r="D17" i="15"/>
  <c r="G16" i="15"/>
  <c r="D16" i="15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J281" i="14"/>
  <c r="K281" i="14" s="1"/>
  <c r="F281" i="14"/>
  <c r="J280" i="14"/>
  <c r="K280" i="14" s="1"/>
  <c r="F280" i="14"/>
  <c r="J279" i="14"/>
  <c r="K279" i="14" s="1"/>
  <c r="F279" i="14"/>
  <c r="J278" i="14"/>
  <c r="K278" i="14" s="1"/>
  <c r="F278" i="14"/>
  <c r="K277" i="14"/>
  <c r="J277" i="14"/>
  <c r="F277" i="14"/>
  <c r="J276" i="14"/>
  <c r="K276" i="14" s="1"/>
  <c r="F276" i="14"/>
  <c r="J275" i="14"/>
  <c r="K275" i="14" s="1"/>
  <c r="F275" i="14"/>
  <c r="J274" i="14"/>
  <c r="K274" i="14" s="1"/>
  <c r="F274" i="14"/>
  <c r="J273" i="14"/>
  <c r="K273" i="14" s="1"/>
  <c r="F273" i="14"/>
  <c r="J272" i="14"/>
  <c r="K272" i="14" s="1"/>
  <c r="F272" i="14"/>
  <c r="J271" i="14"/>
  <c r="K271" i="14" s="1"/>
  <c r="F271" i="14"/>
  <c r="K270" i="14"/>
  <c r="J270" i="14"/>
  <c r="F270" i="14"/>
  <c r="J269" i="14"/>
  <c r="K269" i="14" s="1"/>
  <c r="F269" i="14"/>
  <c r="J268" i="14"/>
  <c r="K268" i="14" s="1"/>
  <c r="F268" i="14"/>
  <c r="J267" i="14"/>
  <c r="K267" i="14" s="1"/>
  <c r="F267" i="14"/>
  <c r="J266" i="14"/>
  <c r="K266" i="14" s="1"/>
  <c r="F266" i="14"/>
  <c r="J265" i="14"/>
  <c r="K265" i="14" s="1"/>
  <c r="F265" i="14"/>
  <c r="J264" i="14"/>
  <c r="K264" i="14" s="1"/>
  <c r="F264" i="14"/>
  <c r="J263" i="14"/>
  <c r="K263" i="14" s="1"/>
  <c r="F263" i="14"/>
  <c r="K262" i="14"/>
  <c r="J262" i="14"/>
  <c r="F262" i="14"/>
  <c r="J261" i="14"/>
  <c r="K261" i="14" s="1"/>
  <c r="F261" i="14"/>
  <c r="J260" i="14"/>
  <c r="K260" i="14" s="1"/>
  <c r="F260" i="14"/>
  <c r="J259" i="14"/>
  <c r="K259" i="14" s="1"/>
  <c r="F259" i="14"/>
  <c r="J258" i="14"/>
  <c r="K258" i="14" s="1"/>
  <c r="F258" i="14"/>
  <c r="J257" i="14"/>
  <c r="K257" i="14" s="1"/>
  <c r="F257" i="14"/>
  <c r="J256" i="14"/>
  <c r="K256" i="14" s="1"/>
  <c r="F256" i="14"/>
  <c r="J255" i="14"/>
  <c r="K255" i="14" s="1"/>
  <c r="F255" i="14"/>
  <c r="J254" i="14"/>
  <c r="K254" i="14" s="1"/>
  <c r="F254" i="14"/>
  <c r="J253" i="14"/>
  <c r="K253" i="14" s="1"/>
  <c r="F253" i="14"/>
  <c r="J252" i="14"/>
  <c r="K252" i="14" s="1"/>
  <c r="F252" i="14"/>
  <c r="J251" i="14"/>
  <c r="K251" i="14" s="1"/>
  <c r="F251" i="14"/>
  <c r="J250" i="14"/>
  <c r="K250" i="14" s="1"/>
  <c r="F250" i="14"/>
  <c r="O246" i="14"/>
  <c r="P246" i="14" s="1"/>
  <c r="J246" i="14"/>
  <c r="K246" i="14" s="1"/>
  <c r="M246" i="14" s="1"/>
  <c r="N246" i="14" s="1"/>
  <c r="F246" i="14"/>
  <c r="L246" i="14" s="1"/>
  <c r="O245" i="14"/>
  <c r="P245" i="14" s="1"/>
  <c r="J245" i="14"/>
  <c r="K245" i="14" s="1"/>
  <c r="F245" i="14"/>
  <c r="L245" i="14" s="1"/>
  <c r="O244" i="14"/>
  <c r="P244" i="14" s="1"/>
  <c r="J244" i="14"/>
  <c r="K244" i="14" s="1"/>
  <c r="F244" i="14"/>
  <c r="L244" i="14" s="1"/>
  <c r="O243" i="14"/>
  <c r="P243" i="14" s="1"/>
  <c r="J243" i="14"/>
  <c r="K243" i="14" s="1"/>
  <c r="F243" i="14"/>
  <c r="L243" i="14" s="1"/>
  <c r="O242" i="14"/>
  <c r="P242" i="14" s="1"/>
  <c r="K242" i="14"/>
  <c r="J242" i="14"/>
  <c r="F242" i="14"/>
  <c r="L242" i="14" s="1"/>
  <c r="M242" i="14" s="1"/>
  <c r="N242" i="14" s="1"/>
  <c r="O241" i="14"/>
  <c r="P241" i="14" s="1"/>
  <c r="J241" i="14"/>
  <c r="K241" i="14" s="1"/>
  <c r="F241" i="14"/>
  <c r="L241" i="14" s="1"/>
  <c r="O240" i="14"/>
  <c r="P240" i="14" s="1"/>
  <c r="J240" i="14"/>
  <c r="K240" i="14" s="1"/>
  <c r="F240" i="14"/>
  <c r="L240" i="14" s="1"/>
  <c r="O239" i="14"/>
  <c r="P239" i="14" s="1"/>
  <c r="J239" i="14"/>
  <c r="K239" i="14" s="1"/>
  <c r="F239" i="14"/>
  <c r="L239" i="14" s="1"/>
  <c r="O238" i="14"/>
  <c r="P238" i="14" s="1"/>
  <c r="Q238" i="14" s="1"/>
  <c r="J238" i="14"/>
  <c r="K238" i="14" s="1"/>
  <c r="M238" i="14" s="1"/>
  <c r="N238" i="14" s="1"/>
  <c r="F238" i="14"/>
  <c r="L238" i="14" s="1"/>
  <c r="O237" i="14"/>
  <c r="P237" i="14" s="1"/>
  <c r="Q237" i="14" s="1"/>
  <c r="J237" i="14"/>
  <c r="K237" i="14" s="1"/>
  <c r="F237" i="14"/>
  <c r="L237" i="14" s="1"/>
  <c r="O236" i="14"/>
  <c r="P236" i="14" s="1"/>
  <c r="J236" i="14"/>
  <c r="K236" i="14" s="1"/>
  <c r="F236" i="14"/>
  <c r="L236" i="14" s="1"/>
  <c r="O235" i="14"/>
  <c r="P235" i="14" s="1"/>
  <c r="L235" i="14"/>
  <c r="J235" i="14"/>
  <c r="K235" i="14" s="1"/>
  <c r="F235" i="14"/>
  <c r="O234" i="14"/>
  <c r="P234" i="14" s="1"/>
  <c r="Q234" i="14" s="1"/>
  <c r="K234" i="14"/>
  <c r="M234" i="14" s="1"/>
  <c r="N234" i="14" s="1"/>
  <c r="J234" i="14"/>
  <c r="F234" i="14"/>
  <c r="L234" i="14" s="1"/>
  <c r="O233" i="14"/>
  <c r="P233" i="14" s="1"/>
  <c r="J233" i="14"/>
  <c r="K233" i="14" s="1"/>
  <c r="F233" i="14"/>
  <c r="L233" i="14" s="1"/>
  <c r="O232" i="14"/>
  <c r="P232" i="14" s="1"/>
  <c r="J232" i="14"/>
  <c r="K232" i="14" s="1"/>
  <c r="M232" i="14" s="1"/>
  <c r="N232" i="14" s="1"/>
  <c r="F232" i="14"/>
  <c r="L232" i="14" s="1"/>
  <c r="O231" i="14"/>
  <c r="P231" i="14" s="1"/>
  <c r="J231" i="14"/>
  <c r="K231" i="14" s="1"/>
  <c r="F231" i="14"/>
  <c r="L231" i="14" s="1"/>
  <c r="O230" i="14"/>
  <c r="P230" i="14" s="1"/>
  <c r="Q230" i="14" s="1"/>
  <c r="J230" i="14"/>
  <c r="K230" i="14" s="1"/>
  <c r="M230" i="14" s="1"/>
  <c r="N230" i="14" s="1"/>
  <c r="F230" i="14"/>
  <c r="L230" i="14" s="1"/>
  <c r="O229" i="14"/>
  <c r="P229" i="14" s="1"/>
  <c r="K229" i="14"/>
  <c r="J229" i="14"/>
  <c r="F229" i="14"/>
  <c r="L229" i="14" s="1"/>
  <c r="O228" i="14"/>
  <c r="P228" i="14" s="1"/>
  <c r="L228" i="14"/>
  <c r="K228" i="14"/>
  <c r="M228" i="14" s="1"/>
  <c r="N228" i="14" s="1"/>
  <c r="J228" i="14"/>
  <c r="F228" i="14"/>
  <c r="O227" i="14"/>
  <c r="P227" i="14" s="1"/>
  <c r="K227" i="14"/>
  <c r="J227" i="14"/>
  <c r="F227" i="14"/>
  <c r="L227" i="14" s="1"/>
  <c r="O226" i="14"/>
  <c r="P226" i="14" s="1"/>
  <c r="Q226" i="14" s="1"/>
  <c r="J226" i="14"/>
  <c r="K226" i="14" s="1"/>
  <c r="M226" i="14" s="1"/>
  <c r="N226" i="14" s="1"/>
  <c r="F226" i="14"/>
  <c r="L226" i="14" s="1"/>
  <c r="O225" i="14"/>
  <c r="P225" i="14" s="1"/>
  <c r="J225" i="14"/>
  <c r="K225" i="14" s="1"/>
  <c r="F225" i="14"/>
  <c r="L225" i="14" s="1"/>
  <c r="O224" i="14"/>
  <c r="P224" i="14" s="1"/>
  <c r="K224" i="14"/>
  <c r="M224" i="14" s="1"/>
  <c r="N224" i="14" s="1"/>
  <c r="J224" i="14"/>
  <c r="F224" i="14"/>
  <c r="L224" i="14" s="1"/>
  <c r="O223" i="14"/>
  <c r="P223" i="14" s="1"/>
  <c r="L223" i="14"/>
  <c r="K223" i="14"/>
  <c r="M223" i="14" s="1"/>
  <c r="N223" i="14" s="1"/>
  <c r="J223" i="14"/>
  <c r="F223" i="14"/>
  <c r="O222" i="14"/>
  <c r="P222" i="14" s="1"/>
  <c r="J222" i="14"/>
  <c r="K222" i="14" s="1"/>
  <c r="F222" i="14"/>
  <c r="L222" i="14" s="1"/>
  <c r="O221" i="14"/>
  <c r="P221" i="14" s="1"/>
  <c r="J221" i="14"/>
  <c r="K221" i="14" s="1"/>
  <c r="M221" i="14" s="1"/>
  <c r="N221" i="14" s="1"/>
  <c r="F221" i="14"/>
  <c r="L221" i="14" s="1"/>
  <c r="O220" i="14"/>
  <c r="P220" i="14" s="1"/>
  <c r="L220" i="14"/>
  <c r="Q220" i="14" s="1"/>
  <c r="J220" i="14"/>
  <c r="K220" i="14" s="1"/>
  <c r="F220" i="14"/>
  <c r="O219" i="14"/>
  <c r="P219" i="14" s="1"/>
  <c r="J219" i="14"/>
  <c r="K219" i="14" s="1"/>
  <c r="F219" i="14"/>
  <c r="L219" i="14" s="1"/>
  <c r="O218" i="14"/>
  <c r="P218" i="14" s="1"/>
  <c r="J218" i="14"/>
  <c r="K218" i="14" s="1"/>
  <c r="M218" i="14" s="1"/>
  <c r="N218" i="14" s="1"/>
  <c r="F218" i="14"/>
  <c r="L218" i="14" s="1"/>
  <c r="O217" i="14"/>
  <c r="P217" i="14" s="1"/>
  <c r="L217" i="14"/>
  <c r="J217" i="14"/>
  <c r="K217" i="14" s="1"/>
  <c r="F217" i="14"/>
  <c r="P216" i="14"/>
  <c r="Q216" i="14" s="1"/>
  <c r="O216" i="14"/>
  <c r="J216" i="14"/>
  <c r="K216" i="14" s="1"/>
  <c r="F216" i="14"/>
  <c r="L216" i="14" s="1"/>
  <c r="O215" i="14"/>
  <c r="P215" i="14" s="1"/>
  <c r="Q215" i="14" s="1"/>
  <c r="N215" i="14"/>
  <c r="J215" i="14"/>
  <c r="K215" i="14" s="1"/>
  <c r="M215" i="14" s="1"/>
  <c r="F215" i="14"/>
  <c r="L215" i="14" s="1"/>
  <c r="O214" i="14"/>
  <c r="P214" i="14" s="1"/>
  <c r="Q214" i="14" s="1"/>
  <c r="J214" i="14"/>
  <c r="K214" i="14" s="1"/>
  <c r="M214" i="14" s="1"/>
  <c r="N214" i="14" s="1"/>
  <c r="F214" i="14"/>
  <c r="L214" i="14" s="1"/>
  <c r="O213" i="14"/>
  <c r="P213" i="14" s="1"/>
  <c r="J213" i="14"/>
  <c r="K213" i="14" s="1"/>
  <c r="F213" i="14"/>
  <c r="L213" i="14" s="1"/>
  <c r="O212" i="14"/>
  <c r="P212" i="14" s="1"/>
  <c r="J212" i="14"/>
  <c r="K212" i="14" s="1"/>
  <c r="F212" i="14"/>
  <c r="L212" i="14" s="1"/>
  <c r="O211" i="14"/>
  <c r="P211" i="14" s="1"/>
  <c r="L211" i="14"/>
  <c r="J211" i="14"/>
  <c r="K211" i="14" s="1"/>
  <c r="F211" i="14"/>
  <c r="O210" i="14"/>
  <c r="P210" i="14" s="1"/>
  <c r="Q210" i="14" s="1"/>
  <c r="J210" i="14"/>
  <c r="K210" i="14" s="1"/>
  <c r="M210" i="14" s="1"/>
  <c r="N210" i="14" s="1"/>
  <c r="F210" i="14"/>
  <c r="L210" i="14" s="1"/>
  <c r="O209" i="14"/>
  <c r="P209" i="14" s="1"/>
  <c r="J209" i="14"/>
  <c r="K209" i="14" s="1"/>
  <c r="F209" i="14"/>
  <c r="L209" i="14" s="1"/>
  <c r="O208" i="14"/>
  <c r="P208" i="14" s="1"/>
  <c r="J208" i="14"/>
  <c r="K208" i="14" s="1"/>
  <c r="M208" i="14" s="1"/>
  <c r="N208" i="14" s="1"/>
  <c r="F208" i="14"/>
  <c r="L208" i="14" s="1"/>
  <c r="O207" i="14"/>
  <c r="P207" i="14" s="1"/>
  <c r="J207" i="14"/>
  <c r="K207" i="14" s="1"/>
  <c r="F207" i="14"/>
  <c r="L207" i="14" s="1"/>
  <c r="O206" i="14"/>
  <c r="P206" i="14" s="1"/>
  <c r="J206" i="14"/>
  <c r="K206" i="14" s="1"/>
  <c r="F206" i="14"/>
  <c r="L206" i="14" s="1"/>
  <c r="M206" i="14" s="1"/>
  <c r="N206" i="14" s="1"/>
  <c r="O205" i="14"/>
  <c r="P205" i="14" s="1"/>
  <c r="L205" i="14"/>
  <c r="J205" i="14"/>
  <c r="K205" i="14" s="1"/>
  <c r="F205" i="14"/>
  <c r="O204" i="14"/>
  <c r="P204" i="14" s="1"/>
  <c r="K204" i="14"/>
  <c r="J204" i="14"/>
  <c r="F204" i="14"/>
  <c r="L204" i="14" s="1"/>
  <c r="O203" i="14"/>
  <c r="P203" i="14" s="1"/>
  <c r="Q203" i="14" s="1"/>
  <c r="L203" i="14"/>
  <c r="J203" i="14"/>
  <c r="K203" i="14" s="1"/>
  <c r="M203" i="14" s="1"/>
  <c r="N203" i="14" s="1"/>
  <c r="F203" i="14"/>
  <c r="O202" i="14"/>
  <c r="P202" i="14" s="1"/>
  <c r="J202" i="14"/>
  <c r="K202" i="14" s="1"/>
  <c r="M202" i="14" s="1"/>
  <c r="N202" i="14" s="1"/>
  <c r="F202" i="14"/>
  <c r="L202" i="14" s="1"/>
  <c r="O201" i="14"/>
  <c r="P201" i="14" s="1"/>
  <c r="J201" i="14"/>
  <c r="K201" i="14" s="1"/>
  <c r="M201" i="14" s="1"/>
  <c r="N201" i="14" s="1"/>
  <c r="F201" i="14"/>
  <c r="L201" i="14" s="1"/>
  <c r="O200" i="14"/>
  <c r="P200" i="14" s="1"/>
  <c r="J200" i="14"/>
  <c r="K200" i="14" s="1"/>
  <c r="F200" i="14"/>
  <c r="L200" i="14" s="1"/>
  <c r="O199" i="14"/>
  <c r="P199" i="14" s="1"/>
  <c r="L199" i="14"/>
  <c r="J199" i="14"/>
  <c r="K199" i="14" s="1"/>
  <c r="F199" i="14"/>
  <c r="O198" i="14"/>
  <c r="P198" i="14" s="1"/>
  <c r="J198" i="14"/>
  <c r="K198" i="14" s="1"/>
  <c r="F198" i="14"/>
  <c r="L198" i="14" s="1"/>
  <c r="O197" i="14"/>
  <c r="P197" i="14" s="1"/>
  <c r="L197" i="14"/>
  <c r="J197" i="14"/>
  <c r="K197" i="14" s="1"/>
  <c r="M197" i="14" s="1"/>
  <c r="N197" i="14" s="1"/>
  <c r="F197" i="14"/>
  <c r="O196" i="14"/>
  <c r="P196" i="14" s="1"/>
  <c r="L196" i="14"/>
  <c r="J196" i="14"/>
  <c r="K196" i="14" s="1"/>
  <c r="M196" i="14" s="1"/>
  <c r="N196" i="14" s="1"/>
  <c r="F196" i="14"/>
  <c r="O195" i="14"/>
  <c r="P195" i="14" s="1"/>
  <c r="Q195" i="14" s="1"/>
  <c r="J195" i="14"/>
  <c r="K195" i="14" s="1"/>
  <c r="M195" i="14" s="1"/>
  <c r="N195" i="14" s="1"/>
  <c r="F195" i="14"/>
  <c r="L195" i="14" s="1"/>
  <c r="P194" i="14"/>
  <c r="O194" i="14"/>
  <c r="K194" i="14"/>
  <c r="J194" i="14"/>
  <c r="F194" i="14"/>
  <c r="L194" i="14" s="1"/>
  <c r="O193" i="14"/>
  <c r="P193" i="14" s="1"/>
  <c r="L193" i="14"/>
  <c r="J193" i="14"/>
  <c r="K193" i="14" s="1"/>
  <c r="F193" i="14"/>
  <c r="O192" i="14"/>
  <c r="P192" i="14" s="1"/>
  <c r="Q192" i="14" s="1"/>
  <c r="J192" i="14"/>
  <c r="K192" i="14" s="1"/>
  <c r="M192" i="14" s="1"/>
  <c r="N192" i="14" s="1"/>
  <c r="F192" i="14"/>
  <c r="L192" i="14" s="1"/>
  <c r="O191" i="14"/>
  <c r="P191" i="14" s="1"/>
  <c r="L191" i="14"/>
  <c r="J191" i="14"/>
  <c r="K191" i="14" s="1"/>
  <c r="F191" i="14"/>
  <c r="O190" i="14"/>
  <c r="P190" i="14" s="1"/>
  <c r="J190" i="14"/>
  <c r="K190" i="14" s="1"/>
  <c r="F190" i="14"/>
  <c r="L190" i="14" s="1"/>
  <c r="O189" i="14"/>
  <c r="P189" i="14" s="1"/>
  <c r="J189" i="14"/>
  <c r="K189" i="14" s="1"/>
  <c r="F189" i="14"/>
  <c r="L189" i="14" s="1"/>
  <c r="M189" i="14" s="1"/>
  <c r="N189" i="14" s="1"/>
  <c r="O188" i="14"/>
  <c r="P188" i="14" s="1"/>
  <c r="J188" i="14"/>
  <c r="K188" i="14" s="1"/>
  <c r="F188" i="14"/>
  <c r="L188" i="14" s="1"/>
  <c r="Q188" i="14" s="1"/>
  <c r="O187" i="14"/>
  <c r="P187" i="14" s="1"/>
  <c r="J187" i="14"/>
  <c r="K187" i="14" s="1"/>
  <c r="F187" i="14"/>
  <c r="L187" i="14" s="1"/>
  <c r="O186" i="14"/>
  <c r="P186" i="14" s="1"/>
  <c r="Q186" i="14" s="1"/>
  <c r="J186" i="14"/>
  <c r="K186" i="14" s="1"/>
  <c r="M186" i="14" s="1"/>
  <c r="N186" i="14" s="1"/>
  <c r="F186" i="14"/>
  <c r="L186" i="14" s="1"/>
  <c r="O185" i="14"/>
  <c r="P185" i="14" s="1"/>
  <c r="J185" i="14"/>
  <c r="K185" i="14" s="1"/>
  <c r="F185" i="14"/>
  <c r="L185" i="14" s="1"/>
  <c r="O184" i="14"/>
  <c r="P184" i="14" s="1"/>
  <c r="Q184" i="14" s="1"/>
  <c r="J184" i="14"/>
  <c r="K184" i="14" s="1"/>
  <c r="F184" i="14"/>
  <c r="L184" i="14" s="1"/>
  <c r="O183" i="14"/>
  <c r="P183" i="14" s="1"/>
  <c r="J183" i="14"/>
  <c r="K183" i="14" s="1"/>
  <c r="F183" i="14"/>
  <c r="L183" i="14" s="1"/>
  <c r="O182" i="14"/>
  <c r="P182" i="14" s="1"/>
  <c r="Q182" i="14" s="1"/>
  <c r="J182" i="14"/>
  <c r="K182" i="14" s="1"/>
  <c r="M182" i="14" s="1"/>
  <c r="N182" i="14" s="1"/>
  <c r="F182" i="14"/>
  <c r="L182" i="14" s="1"/>
  <c r="O181" i="14"/>
  <c r="P181" i="14" s="1"/>
  <c r="J181" i="14"/>
  <c r="K181" i="14" s="1"/>
  <c r="F181" i="14"/>
  <c r="L181" i="14" s="1"/>
  <c r="O180" i="14"/>
  <c r="P180" i="14" s="1"/>
  <c r="L180" i="14"/>
  <c r="K180" i="14"/>
  <c r="M180" i="14" s="1"/>
  <c r="N180" i="14" s="1"/>
  <c r="J180" i="14"/>
  <c r="F180" i="14"/>
  <c r="O179" i="14"/>
  <c r="P179" i="14" s="1"/>
  <c r="K179" i="14"/>
  <c r="J179" i="14"/>
  <c r="F179" i="14"/>
  <c r="L179" i="14" s="1"/>
  <c r="O178" i="14"/>
  <c r="P178" i="14" s="1"/>
  <c r="Q178" i="14" s="1"/>
  <c r="K178" i="14"/>
  <c r="M178" i="14" s="1"/>
  <c r="N178" i="14" s="1"/>
  <c r="J178" i="14"/>
  <c r="F178" i="14"/>
  <c r="L178" i="14" s="1"/>
  <c r="O177" i="14"/>
  <c r="P177" i="14" s="1"/>
  <c r="J177" i="14"/>
  <c r="K177" i="14" s="1"/>
  <c r="F177" i="14"/>
  <c r="L177" i="14" s="1"/>
  <c r="O176" i="14"/>
  <c r="P176" i="14" s="1"/>
  <c r="K176" i="14"/>
  <c r="M176" i="14" s="1"/>
  <c r="N176" i="14" s="1"/>
  <c r="J176" i="14"/>
  <c r="F176" i="14"/>
  <c r="L176" i="14" s="1"/>
  <c r="O175" i="14"/>
  <c r="P175" i="14" s="1"/>
  <c r="J175" i="14"/>
  <c r="K175" i="14" s="1"/>
  <c r="M175" i="14" s="1"/>
  <c r="N175" i="14" s="1"/>
  <c r="F175" i="14"/>
  <c r="L175" i="14" s="1"/>
  <c r="O174" i="14"/>
  <c r="P174" i="14" s="1"/>
  <c r="J174" i="14"/>
  <c r="K174" i="14" s="1"/>
  <c r="M174" i="14" s="1"/>
  <c r="N174" i="14" s="1"/>
  <c r="F174" i="14"/>
  <c r="L174" i="14" s="1"/>
  <c r="O173" i="14"/>
  <c r="P173" i="14" s="1"/>
  <c r="J173" i="14"/>
  <c r="K173" i="14" s="1"/>
  <c r="F173" i="14"/>
  <c r="L173" i="14" s="1"/>
  <c r="O172" i="14"/>
  <c r="P172" i="14" s="1"/>
  <c r="J172" i="14"/>
  <c r="K172" i="14" s="1"/>
  <c r="F172" i="14"/>
  <c r="L172" i="14" s="1"/>
  <c r="O171" i="14"/>
  <c r="P171" i="14" s="1"/>
  <c r="K171" i="14"/>
  <c r="J171" i="14"/>
  <c r="F171" i="14"/>
  <c r="L171" i="14" s="1"/>
  <c r="M171" i="14" s="1"/>
  <c r="N171" i="14" s="1"/>
  <c r="O170" i="14"/>
  <c r="P170" i="14" s="1"/>
  <c r="L170" i="14"/>
  <c r="J170" i="14"/>
  <c r="K170" i="14" s="1"/>
  <c r="M170" i="14" s="1"/>
  <c r="N170" i="14" s="1"/>
  <c r="F170" i="14"/>
  <c r="O169" i="14"/>
  <c r="P169" i="14" s="1"/>
  <c r="L169" i="14"/>
  <c r="J169" i="14"/>
  <c r="K169" i="14" s="1"/>
  <c r="F169" i="14"/>
  <c r="O168" i="14"/>
  <c r="P168" i="14" s="1"/>
  <c r="J168" i="14"/>
  <c r="K168" i="14" s="1"/>
  <c r="F168" i="14"/>
  <c r="L168" i="14" s="1"/>
  <c r="O167" i="14"/>
  <c r="P167" i="14" s="1"/>
  <c r="J167" i="14"/>
  <c r="K167" i="14" s="1"/>
  <c r="F167" i="14"/>
  <c r="L167" i="14" s="1"/>
  <c r="O166" i="14"/>
  <c r="P166" i="14" s="1"/>
  <c r="J166" i="14"/>
  <c r="K166" i="14" s="1"/>
  <c r="F166" i="14"/>
  <c r="L166" i="14" s="1"/>
  <c r="O165" i="14"/>
  <c r="P165" i="14" s="1"/>
  <c r="J165" i="14"/>
  <c r="K165" i="14" s="1"/>
  <c r="F165" i="14"/>
  <c r="L165" i="14" s="1"/>
  <c r="O164" i="14"/>
  <c r="P164" i="14" s="1"/>
  <c r="Q164" i="14" s="1"/>
  <c r="M164" i="14"/>
  <c r="N164" i="14" s="1"/>
  <c r="K164" i="14"/>
  <c r="J164" i="14"/>
  <c r="F164" i="14"/>
  <c r="L164" i="14" s="1"/>
  <c r="O163" i="14"/>
  <c r="P163" i="14" s="1"/>
  <c r="K163" i="14"/>
  <c r="J163" i="14"/>
  <c r="F163" i="14"/>
  <c r="L163" i="14" s="1"/>
  <c r="O162" i="14"/>
  <c r="P162" i="14" s="1"/>
  <c r="K162" i="14"/>
  <c r="J162" i="14"/>
  <c r="F162" i="14"/>
  <c r="L162" i="14" s="1"/>
  <c r="O161" i="14"/>
  <c r="P161" i="14" s="1"/>
  <c r="J161" i="14"/>
  <c r="K161" i="14" s="1"/>
  <c r="F161" i="14"/>
  <c r="L161" i="14" s="1"/>
  <c r="M161" i="14" s="1"/>
  <c r="N161" i="14" s="1"/>
  <c r="O160" i="14"/>
  <c r="P160" i="14" s="1"/>
  <c r="K160" i="14"/>
  <c r="J160" i="14"/>
  <c r="F160" i="14"/>
  <c r="L160" i="14" s="1"/>
  <c r="O159" i="14"/>
  <c r="P159" i="14" s="1"/>
  <c r="K159" i="14"/>
  <c r="J159" i="14"/>
  <c r="F159" i="14"/>
  <c r="L159" i="14" s="1"/>
  <c r="O158" i="14"/>
  <c r="P158" i="14" s="1"/>
  <c r="K158" i="14"/>
  <c r="J158" i="14"/>
  <c r="F158" i="14"/>
  <c r="L158" i="14" s="1"/>
  <c r="Q158" i="14" s="1"/>
  <c r="O157" i="14"/>
  <c r="P157" i="14" s="1"/>
  <c r="J157" i="14"/>
  <c r="K157" i="14" s="1"/>
  <c r="M157" i="14" s="1"/>
  <c r="N157" i="14" s="1"/>
  <c r="F157" i="14"/>
  <c r="L157" i="14" s="1"/>
  <c r="O156" i="14"/>
  <c r="P156" i="14" s="1"/>
  <c r="L156" i="14"/>
  <c r="J156" i="14"/>
  <c r="K156" i="14" s="1"/>
  <c r="F156" i="14"/>
  <c r="O155" i="14"/>
  <c r="P155" i="14" s="1"/>
  <c r="J155" i="14"/>
  <c r="K155" i="14" s="1"/>
  <c r="F155" i="14"/>
  <c r="L155" i="14" s="1"/>
  <c r="M155" i="14" s="1"/>
  <c r="N155" i="14" s="1"/>
  <c r="O154" i="14"/>
  <c r="P154" i="14" s="1"/>
  <c r="Q154" i="14" s="1"/>
  <c r="K154" i="14"/>
  <c r="M154" i="14" s="1"/>
  <c r="N154" i="14" s="1"/>
  <c r="J154" i="14"/>
  <c r="F154" i="14"/>
  <c r="L154" i="14" s="1"/>
  <c r="O153" i="14"/>
  <c r="P153" i="14" s="1"/>
  <c r="J153" i="14"/>
  <c r="K153" i="14" s="1"/>
  <c r="F153" i="14"/>
  <c r="L153" i="14" s="1"/>
  <c r="O152" i="14"/>
  <c r="P152" i="14" s="1"/>
  <c r="J152" i="14"/>
  <c r="K152" i="14" s="1"/>
  <c r="F152" i="14"/>
  <c r="L152" i="14" s="1"/>
  <c r="O151" i="14"/>
  <c r="P151" i="14" s="1"/>
  <c r="K151" i="14"/>
  <c r="J151" i="14"/>
  <c r="F151" i="14"/>
  <c r="L151" i="14" s="1"/>
  <c r="O150" i="14"/>
  <c r="P150" i="14" s="1"/>
  <c r="Q150" i="14" s="1"/>
  <c r="J150" i="14"/>
  <c r="K150" i="14" s="1"/>
  <c r="M150" i="14" s="1"/>
  <c r="N150" i="14" s="1"/>
  <c r="F150" i="14"/>
  <c r="L150" i="14" s="1"/>
  <c r="O149" i="14"/>
  <c r="P149" i="14" s="1"/>
  <c r="J149" i="14"/>
  <c r="K149" i="14" s="1"/>
  <c r="F149" i="14"/>
  <c r="L149" i="14" s="1"/>
  <c r="O148" i="14"/>
  <c r="P148" i="14" s="1"/>
  <c r="J148" i="14"/>
  <c r="K148" i="14" s="1"/>
  <c r="F148" i="14"/>
  <c r="L148" i="14" s="1"/>
  <c r="O147" i="14"/>
  <c r="P147" i="14" s="1"/>
  <c r="L147" i="14"/>
  <c r="J147" i="14"/>
  <c r="K147" i="14" s="1"/>
  <c r="F147" i="14"/>
  <c r="O146" i="14"/>
  <c r="P146" i="14" s="1"/>
  <c r="Q146" i="14" s="1"/>
  <c r="L146" i="14"/>
  <c r="J146" i="14"/>
  <c r="K146" i="14" s="1"/>
  <c r="F146" i="14"/>
  <c r="O145" i="14"/>
  <c r="P145" i="14" s="1"/>
  <c r="Q145" i="14" s="1"/>
  <c r="J145" i="14"/>
  <c r="K145" i="14" s="1"/>
  <c r="F145" i="14"/>
  <c r="L145" i="14" s="1"/>
  <c r="O144" i="14"/>
  <c r="P144" i="14" s="1"/>
  <c r="J144" i="14"/>
  <c r="K144" i="14" s="1"/>
  <c r="F144" i="14"/>
  <c r="L144" i="14" s="1"/>
  <c r="O143" i="14"/>
  <c r="P143" i="14" s="1"/>
  <c r="L143" i="14"/>
  <c r="J143" i="14"/>
  <c r="K143" i="14" s="1"/>
  <c r="F143" i="14"/>
  <c r="O142" i="14"/>
  <c r="P142" i="14" s="1"/>
  <c r="J142" i="14"/>
  <c r="K142" i="14" s="1"/>
  <c r="F142" i="14"/>
  <c r="L142" i="14" s="1"/>
  <c r="O141" i="14"/>
  <c r="P141" i="14" s="1"/>
  <c r="K141" i="14"/>
  <c r="M141" i="14" s="1"/>
  <c r="N141" i="14" s="1"/>
  <c r="J141" i="14"/>
  <c r="F141" i="14"/>
  <c r="L141" i="14" s="1"/>
  <c r="O140" i="14"/>
  <c r="P140" i="14" s="1"/>
  <c r="J140" i="14"/>
  <c r="K140" i="14" s="1"/>
  <c r="F140" i="14"/>
  <c r="L140" i="14" s="1"/>
  <c r="O139" i="14"/>
  <c r="P139" i="14" s="1"/>
  <c r="J139" i="14"/>
  <c r="K139" i="14" s="1"/>
  <c r="F139" i="14"/>
  <c r="L139" i="14" s="1"/>
  <c r="O138" i="14"/>
  <c r="P138" i="14" s="1"/>
  <c r="K138" i="14"/>
  <c r="M138" i="14" s="1"/>
  <c r="N138" i="14" s="1"/>
  <c r="J138" i="14"/>
  <c r="F138" i="14"/>
  <c r="L138" i="14" s="1"/>
  <c r="O137" i="14"/>
  <c r="P137" i="14" s="1"/>
  <c r="J137" i="14"/>
  <c r="K137" i="14" s="1"/>
  <c r="F137" i="14"/>
  <c r="L137" i="14" s="1"/>
  <c r="O136" i="14"/>
  <c r="P136" i="14" s="1"/>
  <c r="K136" i="14"/>
  <c r="J136" i="14"/>
  <c r="F136" i="14"/>
  <c r="L136" i="14" s="1"/>
  <c r="O135" i="14"/>
  <c r="P135" i="14" s="1"/>
  <c r="Q135" i="14" s="1"/>
  <c r="L135" i="14"/>
  <c r="J135" i="14"/>
  <c r="K135" i="14" s="1"/>
  <c r="M135" i="14" s="1"/>
  <c r="N135" i="14" s="1"/>
  <c r="F135" i="14"/>
  <c r="O134" i="14"/>
  <c r="P134" i="14" s="1"/>
  <c r="Q134" i="14" s="1"/>
  <c r="J134" i="14"/>
  <c r="K134" i="14" s="1"/>
  <c r="M134" i="14" s="1"/>
  <c r="N134" i="14" s="1"/>
  <c r="F134" i="14"/>
  <c r="L134" i="14" s="1"/>
  <c r="O133" i="14"/>
  <c r="P133" i="14" s="1"/>
  <c r="J133" i="14"/>
  <c r="K133" i="14" s="1"/>
  <c r="F133" i="14"/>
  <c r="L133" i="14" s="1"/>
  <c r="O132" i="14"/>
  <c r="P132" i="14" s="1"/>
  <c r="Q132" i="14" s="1"/>
  <c r="L132" i="14"/>
  <c r="J132" i="14"/>
  <c r="K132" i="14" s="1"/>
  <c r="F132" i="14"/>
  <c r="O131" i="14"/>
  <c r="P131" i="14" s="1"/>
  <c r="J131" i="14"/>
  <c r="K131" i="14" s="1"/>
  <c r="F131" i="14"/>
  <c r="L131" i="14" s="1"/>
  <c r="O130" i="14"/>
  <c r="P130" i="14" s="1"/>
  <c r="K130" i="14"/>
  <c r="M130" i="14" s="1"/>
  <c r="N130" i="14" s="1"/>
  <c r="J130" i="14"/>
  <c r="F130" i="14"/>
  <c r="L130" i="14" s="1"/>
  <c r="O129" i="14"/>
  <c r="P129" i="14" s="1"/>
  <c r="K129" i="14"/>
  <c r="J129" i="14"/>
  <c r="F129" i="14"/>
  <c r="L129" i="14" s="1"/>
  <c r="O128" i="14"/>
  <c r="P128" i="14" s="1"/>
  <c r="K128" i="14"/>
  <c r="J128" i="14"/>
  <c r="F128" i="14"/>
  <c r="L128" i="14" s="1"/>
  <c r="M128" i="14" s="1"/>
  <c r="N128" i="14" s="1"/>
  <c r="O127" i="14"/>
  <c r="P127" i="14" s="1"/>
  <c r="J127" i="14"/>
  <c r="K127" i="14" s="1"/>
  <c r="F127" i="14"/>
  <c r="L127" i="14" s="1"/>
  <c r="M127" i="14" s="1"/>
  <c r="N127" i="14" s="1"/>
  <c r="P126" i="14"/>
  <c r="Q126" i="14" s="1"/>
  <c r="O126" i="14"/>
  <c r="J126" i="14"/>
  <c r="K126" i="14" s="1"/>
  <c r="F126" i="14"/>
  <c r="L126" i="14" s="1"/>
  <c r="O125" i="14"/>
  <c r="P125" i="14" s="1"/>
  <c r="J125" i="14"/>
  <c r="K125" i="14" s="1"/>
  <c r="F125" i="14"/>
  <c r="L125" i="14" s="1"/>
  <c r="O124" i="14"/>
  <c r="P124" i="14" s="1"/>
  <c r="M124" i="14"/>
  <c r="N124" i="14" s="1"/>
  <c r="J124" i="14"/>
  <c r="K124" i="14" s="1"/>
  <c r="F124" i="14"/>
  <c r="L124" i="14" s="1"/>
  <c r="O123" i="14"/>
  <c r="P123" i="14" s="1"/>
  <c r="Q123" i="14" s="1"/>
  <c r="J123" i="14"/>
  <c r="K123" i="14" s="1"/>
  <c r="M123" i="14" s="1"/>
  <c r="N123" i="14" s="1"/>
  <c r="F123" i="14"/>
  <c r="L123" i="14" s="1"/>
  <c r="O122" i="14"/>
  <c r="P122" i="14" s="1"/>
  <c r="Q122" i="14" s="1"/>
  <c r="J122" i="14"/>
  <c r="K122" i="14" s="1"/>
  <c r="F122" i="14"/>
  <c r="L122" i="14" s="1"/>
  <c r="O121" i="14"/>
  <c r="P121" i="14" s="1"/>
  <c r="J121" i="14"/>
  <c r="K121" i="14" s="1"/>
  <c r="F121" i="14"/>
  <c r="L121" i="14" s="1"/>
  <c r="O120" i="14"/>
  <c r="P120" i="14" s="1"/>
  <c r="K120" i="14"/>
  <c r="J120" i="14"/>
  <c r="F120" i="14"/>
  <c r="L120" i="14" s="1"/>
  <c r="O119" i="14"/>
  <c r="P119" i="14" s="1"/>
  <c r="J119" i="14"/>
  <c r="K119" i="14" s="1"/>
  <c r="F119" i="14"/>
  <c r="L119" i="14" s="1"/>
  <c r="O118" i="14"/>
  <c r="P118" i="14" s="1"/>
  <c r="J118" i="14"/>
  <c r="K118" i="14" s="1"/>
  <c r="F118" i="14"/>
  <c r="L118" i="14" s="1"/>
  <c r="M118" i="14" s="1"/>
  <c r="N118" i="14" s="1"/>
  <c r="O117" i="14"/>
  <c r="P117" i="14" s="1"/>
  <c r="L117" i="14"/>
  <c r="J117" i="14"/>
  <c r="K117" i="14" s="1"/>
  <c r="F117" i="14"/>
  <c r="O116" i="14"/>
  <c r="P116" i="14" s="1"/>
  <c r="Q116" i="14" s="1"/>
  <c r="J116" i="14"/>
  <c r="K116" i="14" s="1"/>
  <c r="F116" i="14"/>
  <c r="L116" i="14" s="1"/>
  <c r="O115" i="14"/>
  <c r="P115" i="14" s="1"/>
  <c r="J115" i="14"/>
  <c r="K115" i="14" s="1"/>
  <c r="F115" i="14"/>
  <c r="L115" i="14" s="1"/>
  <c r="O114" i="14"/>
  <c r="P114" i="14" s="1"/>
  <c r="J114" i="14"/>
  <c r="K114" i="14" s="1"/>
  <c r="F114" i="14"/>
  <c r="L114" i="14" s="1"/>
  <c r="O113" i="14"/>
  <c r="P113" i="14" s="1"/>
  <c r="J113" i="14"/>
  <c r="K113" i="14" s="1"/>
  <c r="M113" i="14" s="1"/>
  <c r="N113" i="14" s="1"/>
  <c r="F113" i="14"/>
  <c r="L113" i="14" s="1"/>
  <c r="O112" i="14"/>
  <c r="P112" i="14" s="1"/>
  <c r="J112" i="14"/>
  <c r="K112" i="14" s="1"/>
  <c r="F112" i="14"/>
  <c r="L112" i="14" s="1"/>
  <c r="O111" i="14"/>
  <c r="P111" i="14" s="1"/>
  <c r="J111" i="14"/>
  <c r="K111" i="14" s="1"/>
  <c r="F111" i="14"/>
  <c r="L111" i="14" s="1"/>
  <c r="M111" i="14" s="1"/>
  <c r="N111" i="14" s="1"/>
  <c r="O110" i="14"/>
  <c r="P110" i="14" s="1"/>
  <c r="Q110" i="14" s="1"/>
  <c r="J110" i="14"/>
  <c r="K110" i="14" s="1"/>
  <c r="M110" i="14" s="1"/>
  <c r="N110" i="14" s="1"/>
  <c r="F110" i="14"/>
  <c r="L110" i="14" s="1"/>
  <c r="O109" i="14"/>
  <c r="P109" i="14" s="1"/>
  <c r="J109" i="14"/>
  <c r="K109" i="14" s="1"/>
  <c r="F109" i="14"/>
  <c r="L109" i="14" s="1"/>
  <c r="O108" i="14"/>
  <c r="P108" i="14" s="1"/>
  <c r="L108" i="14"/>
  <c r="J108" i="14"/>
  <c r="K108" i="14" s="1"/>
  <c r="F108" i="14"/>
  <c r="O107" i="14"/>
  <c r="P107" i="14" s="1"/>
  <c r="J107" i="14"/>
  <c r="K107" i="14" s="1"/>
  <c r="M107" i="14" s="1"/>
  <c r="N107" i="14" s="1"/>
  <c r="F107" i="14"/>
  <c r="L107" i="14" s="1"/>
  <c r="O106" i="14"/>
  <c r="P106" i="14" s="1"/>
  <c r="Q106" i="14" s="1"/>
  <c r="K106" i="14"/>
  <c r="J106" i="14"/>
  <c r="F106" i="14"/>
  <c r="L106" i="14" s="1"/>
  <c r="O105" i="14"/>
  <c r="P105" i="14" s="1"/>
  <c r="L105" i="14"/>
  <c r="J105" i="14"/>
  <c r="K105" i="14" s="1"/>
  <c r="F105" i="14"/>
  <c r="O104" i="14"/>
  <c r="P104" i="14" s="1"/>
  <c r="K104" i="14"/>
  <c r="J104" i="14"/>
  <c r="F104" i="14"/>
  <c r="L104" i="14" s="1"/>
  <c r="O103" i="14"/>
  <c r="P103" i="14" s="1"/>
  <c r="L103" i="14"/>
  <c r="J103" i="14"/>
  <c r="K103" i="14" s="1"/>
  <c r="F103" i="14"/>
  <c r="O102" i="14"/>
  <c r="P102" i="14" s="1"/>
  <c r="Q102" i="14" s="1"/>
  <c r="J102" i="14"/>
  <c r="K102" i="14" s="1"/>
  <c r="M102" i="14" s="1"/>
  <c r="N102" i="14" s="1"/>
  <c r="F102" i="14"/>
  <c r="L102" i="14" s="1"/>
  <c r="O101" i="14"/>
  <c r="P101" i="14" s="1"/>
  <c r="L101" i="14"/>
  <c r="J101" i="14"/>
  <c r="K101" i="14" s="1"/>
  <c r="M101" i="14" s="1"/>
  <c r="N101" i="14" s="1"/>
  <c r="F101" i="14"/>
  <c r="O100" i="14"/>
  <c r="P100" i="14" s="1"/>
  <c r="K100" i="14"/>
  <c r="J100" i="14"/>
  <c r="F100" i="14"/>
  <c r="L100" i="14" s="1"/>
  <c r="O99" i="14"/>
  <c r="P99" i="14" s="1"/>
  <c r="L99" i="14"/>
  <c r="K99" i="14"/>
  <c r="J99" i="14"/>
  <c r="F99" i="14"/>
  <c r="O98" i="14"/>
  <c r="P98" i="14" s="1"/>
  <c r="Q98" i="14" s="1"/>
  <c r="J98" i="14"/>
  <c r="K98" i="14" s="1"/>
  <c r="F98" i="14"/>
  <c r="L98" i="14" s="1"/>
  <c r="O97" i="14"/>
  <c r="P97" i="14" s="1"/>
  <c r="Q97" i="14" s="1"/>
  <c r="M97" i="14"/>
  <c r="N97" i="14" s="1"/>
  <c r="L97" i="14"/>
  <c r="J97" i="14"/>
  <c r="K97" i="14" s="1"/>
  <c r="F97" i="14"/>
  <c r="O96" i="14"/>
  <c r="P96" i="14" s="1"/>
  <c r="J96" i="14"/>
  <c r="K96" i="14" s="1"/>
  <c r="F96" i="14"/>
  <c r="L96" i="14" s="1"/>
  <c r="M96" i="14" s="1"/>
  <c r="N96" i="14" s="1"/>
  <c r="O95" i="14"/>
  <c r="P95" i="14" s="1"/>
  <c r="Q95" i="14" s="1"/>
  <c r="L95" i="14"/>
  <c r="J95" i="14"/>
  <c r="K95" i="14" s="1"/>
  <c r="M95" i="14" s="1"/>
  <c r="N95" i="14" s="1"/>
  <c r="F95" i="14"/>
  <c r="O94" i="14"/>
  <c r="P94" i="14" s="1"/>
  <c r="J94" i="14"/>
  <c r="K94" i="14" s="1"/>
  <c r="F94" i="14"/>
  <c r="L94" i="14" s="1"/>
  <c r="O93" i="14"/>
  <c r="P93" i="14" s="1"/>
  <c r="Q93" i="14" s="1"/>
  <c r="J93" i="14"/>
  <c r="K93" i="14" s="1"/>
  <c r="M93" i="14" s="1"/>
  <c r="N93" i="14" s="1"/>
  <c r="F93" i="14"/>
  <c r="L93" i="14" s="1"/>
  <c r="O92" i="14"/>
  <c r="P92" i="14" s="1"/>
  <c r="Q92" i="14" s="1"/>
  <c r="J92" i="14"/>
  <c r="K92" i="14" s="1"/>
  <c r="M92" i="14" s="1"/>
  <c r="N92" i="14" s="1"/>
  <c r="F92" i="14"/>
  <c r="L92" i="14" s="1"/>
  <c r="O91" i="14"/>
  <c r="P91" i="14" s="1"/>
  <c r="J91" i="14"/>
  <c r="K91" i="14" s="1"/>
  <c r="F91" i="14"/>
  <c r="L91" i="14" s="1"/>
  <c r="O90" i="14"/>
  <c r="J90" i="14"/>
  <c r="F90" i="14"/>
  <c r="L90" i="14" s="1"/>
  <c r="O89" i="14"/>
  <c r="J89" i="14"/>
  <c r="K89" i="14" s="1"/>
  <c r="M89" i="14" s="1"/>
  <c r="N89" i="14" s="1"/>
  <c r="F89" i="14"/>
  <c r="L89" i="14" s="1"/>
  <c r="O88" i="14"/>
  <c r="L88" i="14"/>
  <c r="J88" i="14"/>
  <c r="K88" i="14" s="1"/>
  <c r="F88" i="14"/>
  <c r="C88" i="14"/>
  <c r="C89" i="14" s="1"/>
  <c r="O87" i="14"/>
  <c r="P87" i="14" s="1"/>
  <c r="J87" i="14"/>
  <c r="K87" i="14" s="1"/>
  <c r="F87" i="14"/>
  <c r="L87" i="14" s="1"/>
  <c r="O86" i="14"/>
  <c r="P86" i="14" s="1"/>
  <c r="L86" i="14"/>
  <c r="J86" i="14"/>
  <c r="K86" i="14" s="1"/>
  <c r="F86" i="14"/>
  <c r="O85" i="14"/>
  <c r="P85" i="14" s="1"/>
  <c r="J85" i="14"/>
  <c r="K85" i="14" s="1"/>
  <c r="F85" i="14"/>
  <c r="L85" i="14" s="1"/>
  <c r="O84" i="14"/>
  <c r="P84" i="14" s="1"/>
  <c r="K84" i="14"/>
  <c r="J84" i="14"/>
  <c r="F84" i="14"/>
  <c r="L84" i="14" s="1"/>
  <c r="O83" i="14"/>
  <c r="P83" i="14" s="1"/>
  <c r="Q83" i="14" s="1"/>
  <c r="J83" i="14"/>
  <c r="K83" i="14" s="1"/>
  <c r="F83" i="14"/>
  <c r="L83" i="14" s="1"/>
  <c r="O82" i="14"/>
  <c r="P82" i="14" s="1"/>
  <c r="J82" i="14"/>
  <c r="K82" i="14" s="1"/>
  <c r="M82" i="14" s="1"/>
  <c r="N82" i="14" s="1"/>
  <c r="F82" i="14"/>
  <c r="L82" i="14" s="1"/>
  <c r="O81" i="14"/>
  <c r="P81" i="14" s="1"/>
  <c r="J81" i="14"/>
  <c r="K81" i="14" s="1"/>
  <c r="F81" i="14"/>
  <c r="L81" i="14" s="1"/>
  <c r="O80" i="14"/>
  <c r="P80" i="14" s="1"/>
  <c r="Q80" i="14" s="1"/>
  <c r="J80" i="14"/>
  <c r="K80" i="14" s="1"/>
  <c r="M80" i="14" s="1"/>
  <c r="N80" i="14" s="1"/>
  <c r="F80" i="14"/>
  <c r="L80" i="14" s="1"/>
  <c r="O79" i="14"/>
  <c r="P79" i="14" s="1"/>
  <c r="L79" i="14"/>
  <c r="J79" i="14"/>
  <c r="K79" i="14" s="1"/>
  <c r="F79" i="14"/>
  <c r="O78" i="14"/>
  <c r="P78" i="14" s="1"/>
  <c r="K78" i="14"/>
  <c r="J78" i="14"/>
  <c r="F78" i="14"/>
  <c r="L78" i="14" s="1"/>
  <c r="O77" i="14"/>
  <c r="P77" i="14" s="1"/>
  <c r="L77" i="14"/>
  <c r="J77" i="14"/>
  <c r="K77" i="14" s="1"/>
  <c r="M77" i="14" s="1"/>
  <c r="N77" i="14" s="1"/>
  <c r="F77" i="14"/>
  <c r="O76" i="14"/>
  <c r="P76" i="14" s="1"/>
  <c r="J76" i="14"/>
  <c r="K76" i="14" s="1"/>
  <c r="M76" i="14" s="1"/>
  <c r="N76" i="14" s="1"/>
  <c r="F76" i="14"/>
  <c r="L76" i="14" s="1"/>
  <c r="O75" i="14"/>
  <c r="P75" i="14" s="1"/>
  <c r="Q75" i="14" s="1"/>
  <c r="L75" i="14"/>
  <c r="J75" i="14"/>
  <c r="K75" i="14" s="1"/>
  <c r="M75" i="14" s="1"/>
  <c r="N75" i="14" s="1"/>
  <c r="F75" i="14"/>
  <c r="O74" i="14"/>
  <c r="P74" i="14" s="1"/>
  <c r="L74" i="14"/>
  <c r="J74" i="14"/>
  <c r="K74" i="14" s="1"/>
  <c r="F74" i="14"/>
  <c r="O73" i="14"/>
  <c r="P73" i="14" s="1"/>
  <c r="Q73" i="14" s="1"/>
  <c r="J73" i="14"/>
  <c r="K73" i="14" s="1"/>
  <c r="F73" i="14"/>
  <c r="L73" i="14" s="1"/>
  <c r="O72" i="14"/>
  <c r="P72" i="14" s="1"/>
  <c r="Q72" i="14" s="1"/>
  <c r="J72" i="14"/>
  <c r="K72" i="14" s="1"/>
  <c r="M72" i="14" s="1"/>
  <c r="N72" i="14" s="1"/>
  <c r="F72" i="14"/>
  <c r="L72" i="14" s="1"/>
  <c r="O71" i="14"/>
  <c r="P71" i="14" s="1"/>
  <c r="Q71" i="14" s="1"/>
  <c r="L71" i="14"/>
  <c r="J71" i="14"/>
  <c r="K71" i="14" s="1"/>
  <c r="F71" i="14"/>
  <c r="O70" i="14"/>
  <c r="P70" i="14" s="1"/>
  <c r="L70" i="14"/>
  <c r="J70" i="14"/>
  <c r="K70" i="14" s="1"/>
  <c r="M70" i="14" s="1"/>
  <c r="N70" i="14" s="1"/>
  <c r="F70" i="14"/>
  <c r="O69" i="14"/>
  <c r="P69" i="14" s="1"/>
  <c r="M69" i="14"/>
  <c r="N69" i="14" s="1"/>
  <c r="J69" i="14"/>
  <c r="K69" i="14" s="1"/>
  <c r="F69" i="14"/>
  <c r="L69" i="14" s="1"/>
  <c r="O68" i="14"/>
  <c r="P68" i="14" s="1"/>
  <c r="J68" i="14"/>
  <c r="K68" i="14" s="1"/>
  <c r="F68" i="14"/>
  <c r="L68" i="14" s="1"/>
  <c r="O67" i="14"/>
  <c r="P67" i="14" s="1"/>
  <c r="M67" i="14"/>
  <c r="N67" i="14" s="1"/>
  <c r="K67" i="14"/>
  <c r="J67" i="14"/>
  <c r="F67" i="14"/>
  <c r="L67" i="14" s="1"/>
  <c r="O66" i="14"/>
  <c r="P66" i="14" s="1"/>
  <c r="L66" i="14"/>
  <c r="J66" i="14"/>
  <c r="K66" i="14" s="1"/>
  <c r="M66" i="14" s="1"/>
  <c r="N66" i="14" s="1"/>
  <c r="F66" i="14"/>
  <c r="O65" i="14"/>
  <c r="P65" i="14" s="1"/>
  <c r="Q65" i="14" s="1"/>
  <c r="L65" i="14"/>
  <c r="J65" i="14"/>
  <c r="K65" i="14" s="1"/>
  <c r="F65" i="14"/>
  <c r="O64" i="14"/>
  <c r="P64" i="14" s="1"/>
  <c r="J64" i="14"/>
  <c r="K64" i="14" s="1"/>
  <c r="F64" i="14"/>
  <c r="L64" i="14" s="1"/>
  <c r="O63" i="14"/>
  <c r="P63" i="14" s="1"/>
  <c r="L63" i="14"/>
  <c r="J63" i="14"/>
  <c r="K63" i="14" s="1"/>
  <c r="F63" i="14"/>
  <c r="O62" i="14"/>
  <c r="P62" i="14" s="1"/>
  <c r="J62" i="14"/>
  <c r="K62" i="14" s="1"/>
  <c r="F62" i="14"/>
  <c r="L62" i="14" s="1"/>
  <c r="O61" i="14"/>
  <c r="P61" i="14" s="1"/>
  <c r="J61" i="14"/>
  <c r="K61" i="14" s="1"/>
  <c r="M61" i="14" s="1"/>
  <c r="N61" i="14" s="1"/>
  <c r="F61" i="14"/>
  <c r="L61" i="14" s="1"/>
  <c r="O60" i="14"/>
  <c r="P60" i="14" s="1"/>
  <c r="K60" i="14"/>
  <c r="J60" i="14"/>
  <c r="F60" i="14"/>
  <c r="L60" i="14" s="1"/>
  <c r="O59" i="14"/>
  <c r="P59" i="14" s="1"/>
  <c r="L59" i="14"/>
  <c r="K59" i="14"/>
  <c r="M59" i="14" s="1"/>
  <c r="N59" i="14" s="1"/>
  <c r="J59" i="14"/>
  <c r="F59" i="14"/>
  <c r="O58" i="14"/>
  <c r="P58" i="14" s="1"/>
  <c r="J58" i="14"/>
  <c r="K58" i="14" s="1"/>
  <c r="F58" i="14"/>
  <c r="L58" i="14" s="1"/>
  <c r="O57" i="14"/>
  <c r="P57" i="14" s="1"/>
  <c r="Q57" i="14" s="1"/>
  <c r="J57" i="14"/>
  <c r="K57" i="14" s="1"/>
  <c r="F57" i="14"/>
  <c r="L57" i="14" s="1"/>
  <c r="O56" i="14"/>
  <c r="P56" i="14" s="1"/>
  <c r="Q56" i="14" s="1"/>
  <c r="J56" i="14"/>
  <c r="K56" i="14" s="1"/>
  <c r="M56" i="14" s="1"/>
  <c r="N56" i="14" s="1"/>
  <c r="F56" i="14"/>
  <c r="L56" i="14" s="1"/>
  <c r="O55" i="14"/>
  <c r="P55" i="14" s="1"/>
  <c r="J55" i="14"/>
  <c r="K55" i="14" s="1"/>
  <c r="F55" i="14"/>
  <c r="L55" i="14" s="1"/>
  <c r="O54" i="14"/>
  <c r="P54" i="14" s="1"/>
  <c r="Q54" i="14" s="1"/>
  <c r="J54" i="14"/>
  <c r="K54" i="14" s="1"/>
  <c r="F54" i="14"/>
  <c r="L54" i="14" s="1"/>
  <c r="O53" i="14"/>
  <c r="P53" i="14" s="1"/>
  <c r="Q53" i="14" s="1"/>
  <c r="J53" i="14"/>
  <c r="K53" i="14" s="1"/>
  <c r="F53" i="14"/>
  <c r="L53" i="14" s="1"/>
  <c r="O52" i="14"/>
  <c r="P52" i="14" s="1"/>
  <c r="J52" i="14"/>
  <c r="K52" i="14" s="1"/>
  <c r="F52" i="14"/>
  <c r="L52" i="14" s="1"/>
  <c r="O51" i="14"/>
  <c r="P51" i="14" s="1"/>
  <c r="L51" i="14"/>
  <c r="J51" i="14"/>
  <c r="K51" i="14" s="1"/>
  <c r="F51" i="14"/>
  <c r="O50" i="14"/>
  <c r="P50" i="14" s="1"/>
  <c r="J50" i="14"/>
  <c r="K50" i="14" s="1"/>
  <c r="F50" i="14"/>
  <c r="L50" i="14" s="1"/>
  <c r="O49" i="14"/>
  <c r="P49" i="14" s="1"/>
  <c r="L49" i="14"/>
  <c r="J49" i="14"/>
  <c r="K49" i="14" s="1"/>
  <c r="F49" i="14"/>
  <c r="O48" i="14"/>
  <c r="P48" i="14" s="1"/>
  <c r="J48" i="14"/>
  <c r="K48" i="14" s="1"/>
  <c r="F48" i="14"/>
  <c r="L48" i="14" s="1"/>
  <c r="O47" i="14"/>
  <c r="P47" i="14" s="1"/>
  <c r="L47" i="14"/>
  <c r="J47" i="14"/>
  <c r="K47" i="14" s="1"/>
  <c r="M47" i="14" s="1"/>
  <c r="N47" i="14" s="1"/>
  <c r="F47" i="14"/>
  <c r="O46" i="14"/>
  <c r="P46" i="14" s="1"/>
  <c r="J46" i="14"/>
  <c r="K46" i="14" s="1"/>
  <c r="F46" i="14"/>
  <c r="L46" i="14" s="1"/>
  <c r="O45" i="14"/>
  <c r="P45" i="14" s="1"/>
  <c r="L45" i="14"/>
  <c r="K45" i="14"/>
  <c r="M45" i="14" s="1"/>
  <c r="N45" i="14" s="1"/>
  <c r="J45" i="14"/>
  <c r="F45" i="14"/>
  <c r="O44" i="14"/>
  <c r="P44" i="14" s="1"/>
  <c r="K44" i="14"/>
  <c r="J44" i="14"/>
  <c r="F44" i="14"/>
  <c r="L44" i="14" s="1"/>
  <c r="O43" i="14"/>
  <c r="P43" i="14" s="1"/>
  <c r="Q43" i="14" s="1"/>
  <c r="K43" i="14"/>
  <c r="M43" i="14" s="1"/>
  <c r="N43" i="14" s="1"/>
  <c r="J43" i="14"/>
  <c r="F43" i="14"/>
  <c r="L43" i="14" s="1"/>
  <c r="O42" i="14"/>
  <c r="P42" i="14" s="1"/>
  <c r="L42" i="14"/>
  <c r="J42" i="14"/>
  <c r="K42" i="14" s="1"/>
  <c r="F42" i="14"/>
  <c r="O41" i="14"/>
  <c r="P41" i="14" s="1"/>
  <c r="Q41" i="14" s="1"/>
  <c r="J41" i="14"/>
  <c r="K41" i="14" s="1"/>
  <c r="F41" i="14"/>
  <c r="L41" i="14" s="1"/>
  <c r="M41" i="14" s="1"/>
  <c r="N41" i="14" s="1"/>
  <c r="O40" i="14"/>
  <c r="P40" i="14" s="1"/>
  <c r="J40" i="14"/>
  <c r="K40" i="14" s="1"/>
  <c r="F40" i="14"/>
  <c r="L40" i="14" s="1"/>
  <c r="O39" i="14"/>
  <c r="P39" i="14" s="1"/>
  <c r="Q39" i="14" s="1"/>
  <c r="L39" i="14"/>
  <c r="J39" i="14"/>
  <c r="K39" i="14" s="1"/>
  <c r="M39" i="14" s="1"/>
  <c r="N39" i="14" s="1"/>
  <c r="F39" i="14"/>
  <c r="O38" i="14"/>
  <c r="P38" i="14" s="1"/>
  <c r="J38" i="14"/>
  <c r="K38" i="14" s="1"/>
  <c r="F38" i="14"/>
  <c r="L38" i="14" s="1"/>
  <c r="O37" i="14"/>
  <c r="P37" i="14" s="1"/>
  <c r="K37" i="14"/>
  <c r="J37" i="14"/>
  <c r="F37" i="14"/>
  <c r="L37" i="14" s="1"/>
  <c r="O36" i="14"/>
  <c r="P36" i="14" s="1"/>
  <c r="J36" i="14"/>
  <c r="K36" i="14" s="1"/>
  <c r="M36" i="14" s="1"/>
  <c r="N36" i="14" s="1"/>
  <c r="F36" i="14"/>
  <c r="L36" i="14" s="1"/>
  <c r="O35" i="14"/>
  <c r="P35" i="14" s="1"/>
  <c r="J35" i="14"/>
  <c r="K35" i="14" s="1"/>
  <c r="F35" i="14"/>
  <c r="L35" i="14" s="1"/>
  <c r="M35" i="14" s="1"/>
  <c r="N35" i="14" s="1"/>
  <c r="O34" i="14"/>
  <c r="P34" i="14" s="1"/>
  <c r="L34" i="14"/>
  <c r="J34" i="14"/>
  <c r="K34" i="14" s="1"/>
  <c r="M34" i="14" s="1"/>
  <c r="N34" i="14" s="1"/>
  <c r="F34" i="14"/>
  <c r="O33" i="14"/>
  <c r="P33" i="14" s="1"/>
  <c r="J33" i="14"/>
  <c r="K33" i="14" s="1"/>
  <c r="F33" i="14"/>
  <c r="L33" i="14" s="1"/>
  <c r="O32" i="14"/>
  <c r="P32" i="14" s="1"/>
  <c r="Q32" i="14" s="1"/>
  <c r="J32" i="14"/>
  <c r="K32" i="14" s="1"/>
  <c r="M32" i="14" s="1"/>
  <c r="N32" i="14" s="1"/>
  <c r="F32" i="14"/>
  <c r="L32" i="14" s="1"/>
  <c r="O31" i="14"/>
  <c r="P31" i="14" s="1"/>
  <c r="L31" i="14"/>
  <c r="J31" i="14"/>
  <c r="K31" i="14" s="1"/>
  <c r="F31" i="14"/>
  <c r="O30" i="14"/>
  <c r="P30" i="14" s="1"/>
  <c r="J30" i="14"/>
  <c r="K30" i="14" s="1"/>
  <c r="F30" i="14"/>
  <c r="L30" i="14" s="1"/>
  <c r="O29" i="14"/>
  <c r="P29" i="14" s="1"/>
  <c r="K29" i="14"/>
  <c r="J29" i="14"/>
  <c r="F29" i="14"/>
  <c r="L29" i="14" s="1"/>
  <c r="O28" i="14"/>
  <c r="P28" i="14" s="1"/>
  <c r="J28" i="14"/>
  <c r="K28" i="14" s="1"/>
  <c r="F28" i="14"/>
  <c r="L28" i="14" s="1"/>
  <c r="O27" i="14"/>
  <c r="P27" i="14" s="1"/>
  <c r="K27" i="14"/>
  <c r="J27" i="14"/>
  <c r="F27" i="14"/>
  <c r="L27" i="14" s="1"/>
  <c r="O26" i="14"/>
  <c r="P26" i="14" s="1"/>
  <c r="Q26" i="14" s="1"/>
  <c r="J26" i="14"/>
  <c r="K26" i="14" s="1"/>
  <c r="M26" i="14" s="1"/>
  <c r="N26" i="14" s="1"/>
  <c r="F26" i="14"/>
  <c r="L26" i="14" s="1"/>
  <c r="O25" i="14"/>
  <c r="P25" i="14" s="1"/>
  <c r="J25" i="14"/>
  <c r="K25" i="14" s="1"/>
  <c r="F25" i="14"/>
  <c r="L25" i="14" s="1"/>
  <c r="O24" i="14"/>
  <c r="P24" i="14" s="1"/>
  <c r="Q24" i="14" s="1"/>
  <c r="J24" i="14"/>
  <c r="K24" i="14" s="1"/>
  <c r="F24" i="14"/>
  <c r="L24" i="14" s="1"/>
  <c r="O23" i="14"/>
  <c r="P23" i="14" s="1"/>
  <c r="J23" i="14"/>
  <c r="K23" i="14" s="1"/>
  <c r="F23" i="14"/>
  <c r="L23" i="14" s="1"/>
  <c r="O22" i="14"/>
  <c r="P22" i="14" s="1"/>
  <c r="J22" i="14"/>
  <c r="K22" i="14" s="1"/>
  <c r="F22" i="14"/>
  <c r="L22" i="14" s="1"/>
  <c r="O21" i="14"/>
  <c r="P21" i="14" s="1"/>
  <c r="J21" i="14"/>
  <c r="K21" i="14" s="1"/>
  <c r="F21" i="14"/>
  <c r="L21" i="14" s="1"/>
  <c r="O20" i="14"/>
  <c r="P20" i="14" s="1"/>
  <c r="Q20" i="14" s="1"/>
  <c r="J20" i="14"/>
  <c r="K20" i="14" s="1"/>
  <c r="F20" i="14"/>
  <c r="L20" i="14" s="1"/>
  <c r="P19" i="14"/>
  <c r="O19" i="14"/>
  <c r="J19" i="14"/>
  <c r="K19" i="14" s="1"/>
  <c r="F19" i="14"/>
  <c r="L19" i="14" s="1"/>
  <c r="O18" i="14"/>
  <c r="P18" i="14" s="1"/>
  <c r="L18" i="14"/>
  <c r="J18" i="14"/>
  <c r="K18" i="14" s="1"/>
  <c r="M18" i="14" s="1"/>
  <c r="N18" i="14" s="1"/>
  <c r="F18" i="14"/>
  <c r="O17" i="14"/>
  <c r="P17" i="14" s="1"/>
  <c r="J17" i="14"/>
  <c r="K17" i="14" s="1"/>
  <c r="F17" i="14"/>
  <c r="L17" i="14" s="1"/>
  <c r="M17" i="14" s="1"/>
  <c r="N17" i="14" s="1"/>
  <c r="O16" i="14"/>
  <c r="P16" i="14" s="1"/>
  <c r="Q16" i="14" s="1"/>
  <c r="L16" i="14"/>
  <c r="J16" i="14"/>
  <c r="K16" i="14" s="1"/>
  <c r="M16" i="14" s="1"/>
  <c r="N16" i="14" s="1"/>
  <c r="F16" i="14"/>
  <c r="O15" i="14"/>
  <c r="P15" i="14" s="1"/>
  <c r="J15" i="14"/>
  <c r="K15" i="14" s="1"/>
  <c r="F15" i="14"/>
  <c r="L15" i="14" s="1"/>
  <c r="O14" i="14"/>
  <c r="P14" i="14" s="1"/>
  <c r="J14" i="14"/>
  <c r="K14" i="14" s="1"/>
  <c r="F14" i="14"/>
  <c r="L14" i="14" s="1"/>
  <c r="O13" i="14"/>
  <c r="P13" i="14" s="1"/>
  <c r="J13" i="14"/>
  <c r="K13" i="14" s="1"/>
  <c r="M13" i="14" s="1"/>
  <c r="N13" i="14" s="1"/>
  <c r="F13" i="14"/>
  <c r="L13" i="14" s="1"/>
  <c r="O12" i="14"/>
  <c r="P12" i="14" s="1"/>
  <c r="L12" i="14"/>
  <c r="J12" i="14"/>
  <c r="K12" i="14" s="1"/>
  <c r="M12" i="14" s="1"/>
  <c r="N12" i="14" s="1"/>
  <c r="F12" i="14"/>
  <c r="O11" i="14"/>
  <c r="P11" i="14" s="1"/>
  <c r="Q11" i="14" s="1"/>
  <c r="J11" i="14"/>
  <c r="K11" i="14" s="1"/>
  <c r="M11" i="14" s="1"/>
  <c r="N11" i="14" s="1"/>
  <c r="F11" i="14"/>
  <c r="L11" i="14" s="1"/>
  <c r="O10" i="14"/>
  <c r="P10" i="14" s="1"/>
  <c r="J10" i="14"/>
  <c r="K10" i="14" s="1"/>
  <c r="F10" i="14"/>
  <c r="L10" i="14" s="1"/>
  <c r="O9" i="14"/>
  <c r="P9" i="14" s="1"/>
  <c r="K9" i="14"/>
  <c r="M9" i="14" s="1"/>
  <c r="N9" i="14" s="1"/>
  <c r="J9" i="14"/>
  <c r="F9" i="14"/>
  <c r="L9" i="14" s="1"/>
  <c r="O8" i="14"/>
  <c r="P8" i="14" s="1"/>
  <c r="Q8" i="14" s="1"/>
  <c r="L8" i="14"/>
  <c r="J8" i="14"/>
  <c r="F8" i="14"/>
  <c r="O7" i="14"/>
  <c r="P7" i="14" s="1"/>
  <c r="K7" i="14"/>
  <c r="J7" i="14"/>
  <c r="F7" i="14"/>
  <c r="A29" i="13"/>
  <c r="B29" i="13" s="1"/>
  <c r="A28" i="13"/>
  <c r="B28" i="13" s="1"/>
  <c r="A27" i="13"/>
  <c r="B27" i="13" s="1"/>
  <c r="C27" i="13" s="1"/>
  <c r="A26" i="13"/>
  <c r="B26" i="13" s="1"/>
  <c r="A25" i="13"/>
  <c r="B25" i="13" s="1"/>
  <c r="A24" i="13"/>
  <c r="B24" i="13" s="1"/>
  <c r="B23" i="13"/>
  <c r="B22" i="13"/>
  <c r="B21" i="13"/>
  <c r="A20" i="13"/>
  <c r="B20" i="13" s="1"/>
  <c r="C20" i="13" s="1"/>
  <c r="A19" i="13"/>
  <c r="B19" i="13" s="1"/>
  <c r="A18" i="13"/>
  <c r="B18" i="13" s="1"/>
  <c r="B17" i="13"/>
  <c r="A16" i="13"/>
  <c r="B16" i="13" s="1"/>
  <c r="B15" i="13"/>
  <c r="A14" i="13"/>
  <c r="B14" i="13" s="1"/>
  <c r="B13" i="13"/>
  <c r="C13" i="13" s="1"/>
  <c r="A12" i="13"/>
  <c r="B12" i="13" s="1"/>
  <c r="A11" i="13"/>
  <c r="B11" i="13" s="1"/>
  <c r="A10" i="13"/>
  <c r="B10" i="13" s="1"/>
  <c r="A9" i="13"/>
  <c r="B9" i="13" s="1"/>
  <c r="B4" i="13"/>
  <c r="B2" i="13"/>
  <c r="F61" i="12"/>
  <c r="B61" i="12"/>
  <c r="H60" i="12"/>
  <c r="I60" i="12" s="1"/>
  <c r="F60" i="12"/>
  <c r="O60" i="12" s="1"/>
  <c r="B60" i="12"/>
  <c r="F59" i="12"/>
  <c r="B59" i="12"/>
  <c r="H58" i="12"/>
  <c r="I58" i="12" s="1"/>
  <c r="L58" i="12" s="1"/>
  <c r="F58" i="12"/>
  <c r="O58" i="12" s="1"/>
  <c r="B58" i="12"/>
  <c r="F57" i="12"/>
  <c r="B57" i="12"/>
  <c r="F56" i="12"/>
  <c r="O56" i="12" s="1"/>
  <c r="B56" i="12"/>
  <c r="F55" i="12"/>
  <c r="O55" i="12" s="1"/>
  <c r="B55" i="12"/>
  <c r="F54" i="12"/>
  <c r="B54" i="12"/>
  <c r="F53" i="12"/>
  <c r="B53" i="12"/>
  <c r="F52" i="12"/>
  <c r="O52" i="12" s="1"/>
  <c r="B52" i="12"/>
  <c r="H51" i="12"/>
  <c r="I51" i="12" s="1"/>
  <c r="F51" i="12"/>
  <c r="O51" i="12" s="1"/>
  <c r="B51" i="12"/>
  <c r="F50" i="12"/>
  <c r="O50" i="12" s="1"/>
  <c r="B50" i="12"/>
  <c r="H49" i="12"/>
  <c r="I49" i="12" s="1"/>
  <c r="F49" i="12"/>
  <c r="O49" i="12" s="1"/>
  <c r="B49" i="12"/>
  <c r="H48" i="12"/>
  <c r="I48" i="12" s="1"/>
  <c r="L48" i="12" s="1"/>
  <c r="F48" i="12"/>
  <c r="O48" i="12" s="1"/>
  <c r="B48" i="12"/>
  <c r="H47" i="12"/>
  <c r="I47" i="12" s="1"/>
  <c r="F47" i="12"/>
  <c r="O47" i="12" s="1"/>
  <c r="B47" i="12"/>
  <c r="O46" i="12"/>
  <c r="H46" i="12"/>
  <c r="I46" i="12" s="1"/>
  <c r="L46" i="12" s="1"/>
  <c r="B46" i="12"/>
  <c r="O45" i="12"/>
  <c r="H45" i="12"/>
  <c r="I45" i="12" s="1"/>
  <c r="L45" i="12" s="1"/>
  <c r="B45" i="12"/>
  <c r="O44" i="12"/>
  <c r="H44" i="12"/>
  <c r="I44" i="12" s="1"/>
  <c r="B44" i="12"/>
  <c r="O43" i="12"/>
  <c r="H43" i="12"/>
  <c r="I43" i="12" s="1"/>
  <c r="B43" i="12"/>
  <c r="O42" i="12"/>
  <c r="H42" i="12"/>
  <c r="I42" i="12" s="1"/>
  <c r="L42" i="12" s="1"/>
  <c r="B42" i="12"/>
  <c r="O41" i="12"/>
  <c r="I41" i="12"/>
  <c r="H41" i="12"/>
  <c r="B41" i="12"/>
  <c r="O40" i="12"/>
  <c r="H40" i="12"/>
  <c r="I40" i="12" s="1"/>
  <c r="B40" i="12"/>
  <c r="O39" i="12"/>
  <c r="I39" i="12"/>
  <c r="L39" i="12" s="1"/>
  <c r="H39" i="12"/>
  <c r="B39" i="12"/>
  <c r="O38" i="12"/>
  <c r="H38" i="12"/>
  <c r="I38" i="12" s="1"/>
  <c r="L38" i="12" s="1"/>
  <c r="B38" i="12"/>
  <c r="O37" i="12"/>
  <c r="H37" i="12"/>
  <c r="I37" i="12" s="1"/>
  <c r="B37" i="12"/>
  <c r="O36" i="12"/>
  <c r="H36" i="12"/>
  <c r="I36" i="12" s="1"/>
  <c r="L36" i="12" s="1"/>
  <c r="B36" i="12"/>
  <c r="O35" i="12"/>
  <c r="H35" i="12"/>
  <c r="I35" i="12" s="1"/>
  <c r="B35" i="12"/>
  <c r="O34" i="12"/>
  <c r="H34" i="12"/>
  <c r="I34" i="12" s="1"/>
  <c r="L34" i="12" s="1"/>
  <c r="B34" i="12"/>
  <c r="O33" i="12"/>
  <c r="I33" i="12"/>
  <c r="H33" i="12"/>
  <c r="B33" i="12"/>
  <c r="L33" i="12" s="1"/>
  <c r="O32" i="12"/>
  <c r="H32" i="12"/>
  <c r="I32" i="12" s="1"/>
  <c r="B32" i="12"/>
  <c r="O31" i="12"/>
  <c r="I31" i="12"/>
  <c r="L31" i="12" s="1"/>
  <c r="H31" i="12"/>
  <c r="B31" i="12"/>
  <c r="O30" i="12"/>
  <c r="H30" i="12"/>
  <c r="I30" i="12" s="1"/>
  <c r="L30" i="12" s="1"/>
  <c r="B30" i="12"/>
  <c r="O29" i="12"/>
  <c r="H29" i="12"/>
  <c r="I29" i="12" s="1"/>
  <c r="L29" i="12" s="1"/>
  <c r="B29" i="12"/>
  <c r="O28" i="12"/>
  <c r="H28" i="12"/>
  <c r="I28" i="12" s="1"/>
  <c r="B28" i="12"/>
  <c r="O27" i="12"/>
  <c r="I27" i="12"/>
  <c r="H27" i="12"/>
  <c r="B27" i="12"/>
  <c r="O26" i="12"/>
  <c r="H26" i="12"/>
  <c r="I26" i="12" s="1"/>
  <c r="B26" i="12"/>
  <c r="O25" i="12"/>
  <c r="H25" i="12"/>
  <c r="I25" i="12" s="1"/>
  <c r="L25" i="12" s="1"/>
  <c r="B25" i="12"/>
  <c r="O24" i="12"/>
  <c r="H24" i="12"/>
  <c r="I24" i="12" s="1"/>
  <c r="B24" i="12"/>
  <c r="O23" i="12"/>
  <c r="H23" i="12"/>
  <c r="I23" i="12" s="1"/>
  <c r="L23" i="12" s="1"/>
  <c r="B23" i="12"/>
  <c r="B22" i="12"/>
  <c r="I22" i="12" s="1"/>
  <c r="B21" i="12"/>
  <c r="I21" i="12" s="1"/>
  <c r="B20" i="12"/>
  <c r="I20" i="12" s="1"/>
  <c r="B19" i="12"/>
  <c r="I19" i="12" s="1"/>
  <c r="B18" i="12"/>
  <c r="I18" i="12" s="1"/>
  <c r="B7" i="12"/>
  <c r="B6" i="12"/>
  <c r="I61" i="4"/>
  <c r="F50" i="4"/>
  <c r="E50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L67" i="4" s="1"/>
  <c r="I88" i="4"/>
  <c r="I89" i="4"/>
  <c r="I90" i="4"/>
  <c r="I91" i="4"/>
  <c r="I92" i="4"/>
  <c r="I93" i="4"/>
  <c r="I94" i="4"/>
  <c r="I95" i="4"/>
  <c r="L68" i="4" s="1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E62" i="4"/>
  <c r="E63" i="4"/>
  <c r="E64" i="4"/>
  <c r="E67" i="4"/>
  <c r="E68" i="4"/>
  <c r="E72" i="4"/>
  <c r="E75" i="4"/>
  <c r="E76" i="4"/>
  <c r="E77" i="4"/>
  <c r="E78" i="4"/>
  <c r="E84" i="4"/>
  <c r="E86" i="4"/>
  <c r="E87" i="4"/>
  <c r="E92" i="4"/>
  <c r="E94" i="4"/>
  <c r="E95" i="4"/>
  <c r="E96" i="4"/>
  <c r="E99" i="4"/>
  <c r="E100" i="4"/>
  <c r="E102" i="4"/>
  <c r="E104" i="4"/>
  <c r="E108" i="4"/>
  <c r="E109" i="4"/>
  <c r="E110" i="4"/>
  <c r="E112" i="4"/>
  <c r="E115" i="4"/>
  <c r="E118" i="4"/>
  <c r="E119" i="4"/>
  <c r="E120" i="4"/>
  <c r="E124" i="4"/>
  <c r="E126" i="4"/>
  <c r="E127" i="4"/>
  <c r="E128" i="4"/>
  <c r="E131" i="4"/>
  <c r="E136" i="4"/>
  <c r="E137" i="4"/>
  <c r="E139" i="4"/>
  <c r="E140" i="4"/>
  <c r="E142" i="4"/>
  <c r="E144" i="4"/>
  <c r="E147" i="4"/>
  <c r="E148" i="4"/>
  <c r="E150" i="4"/>
  <c r="E151" i="4"/>
  <c r="E156" i="4"/>
  <c r="E159" i="4"/>
  <c r="E160" i="4"/>
  <c r="E163" i="4"/>
  <c r="E168" i="4"/>
  <c r="E169" i="4"/>
  <c r="E171" i="4"/>
  <c r="E172" i="4"/>
  <c r="E176" i="4"/>
  <c r="E179" i="4"/>
  <c r="E180" i="4"/>
  <c r="E61" i="4"/>
  <c r="F180" i="4"/>
  <c r="D180" i="4"/>
  <c r="F179" i="4"/>
  <c r="D179" i="4"/>
  <c r="F178" i="4"/>
  <c r="D178" i="4"/>
  <c r="E178" i="4" s="1"/>
  <c r="F177" i="4"/>
  <c r="D177" i="4"/>
  <c r="E177" i="4" s="1"/>
  <c r="F176" i="4"/>
  <c r="D176" i="4"/>
  <c r="F175" i="4"/>
  <c r="D175" i="4"/>
  <c r="E175" i="4" s="1"/>
  <c r="F174" i="4"/>
  <c r="D174" i="4"/>
  <c r="E174" i="4" s="1"/>
  <c r="F173" i="4"/>
  <c r="D173" i="4"/>
  <c r="E173" i="4" s="1"/>
  <c r="F172" i="4"/>
  <c r="D172" i="4"/>
  <c r="F171" i="4"/>
  <c r="D171" i="4"/>
  <c r="F170" i="4"/>
  <c r="D170" i="4"/>
  <c r="E170" i="4" s="1"/>
  <c r="F169" i="4"/>
  <c r="D169" i="4"/>
  <c r="F168" i="4"/>
  <c r="D168" i="4"/>
  <c r="F167" i="4"/>
  <c r="D167" i="4"/>
  <c r="E167" i="4" s="1"/>
  <c r="F166" i="4"/>
  <c r="D166" i="4"/>
  <c r="E166" i="4" s="1"/>
  <c r="F165" i="4"/>
  <c r="D165" i="4"/>
  <c r="E165" i="4" s="1"/>
  <c r="F164" i="4"/>
  <c r="D164" i="4"/>
  <c r="E164" i="4" s="1"/>
  <c r="F163" i="4"/>
  <c r="D163" i="4"/>
  <c r="F162" i="4"/>
  <c r="D162" i="4"/>
  <c r="E162" i="4" s="1"/>
  <c r="F161" i="4"/>
  <c r="D161" i="4"/>
  <c r="E161" i="4" s="1"/>
  <c r="F160" i="4"/>
  <c r="D160" i="4"/>
  <c r="F159" i="4"/>
  <c r="D159" i="4"/>
  <c r="F158" i="4"/>
  <c r="D158" i="4"/>
  <c r="E158" i="4" s="1"/>
  <c r="F157" i="4"/>
  <c r="D157" i="4"/>
  <c r="E157" i="4" s="1"/>
  <c r="F156" i="4"/>
  <c r="D156" i="4"/>
  <c r="F155" i="4"/>
  <c r="D155" i="4"/>
  <c r="E155" i="4" s="1"/>
  <c r="F154" i="4"/>
  <c r="D154" i="4"/>
  <c r="E154" i="4" s="1"/>
  <c r="F153" i="4"/>
  <c r="D153" i="4"/>
  <c r="E153" i="4" s="1"/>
  <c r="F152" i="4"/>
  <c r="D152" i="4"/>
  <c r="E152" i="4" s="1"/>
  <c r="F151" i="4"/>
  <c r="D151" i="4"/>
  <c r="F150" i="4"/>
  <c r="D150" i="4"/>
  <c r="F149" i="4"/>
  <c r="D149" i="4"/>
  <c r="E149" i="4" s="1"/>
  <c r="D148" i="4"/>
  <c r="F147" i="4"/>
  <c r="D147" i="4"/>
  <c r="F146" i="4"/>
  <c r="D146" i="4"/>
  <c r="E146" i="4" s="1"/>
  <c r="F145" i="4"/>
  <c r="D145" i="4"/>
  <c r="E145" i="4" s="1"/>
  <c r="F144" i="4"/>
  <c r="D144" i="4"/>
  <c r="F143" i="4"/>
  <c r="D143" i="4"/>
  <c r="E143" i="4" s="1"/>
  <c r="F142" i="4"/>
  <c r="D142" i="4"/>
  <c r="F141" i="4"/>
  <c r="D141" i="4"/>
  <c r="E141" i="4" s="1"/>
  <c r="F140" i="4"/>
  <c r="D140" i="4"/>
  <c r="F139" i="4"/>
  <c r="D139" i="4"/>
  <c r="F138" i="4"/>
  <c r="D138" i="4"/>
  <c r="E138" i="4" s="1"/>
  <c r="F137" i="4"/>
  <c r="D137" i="4"/>
  <c r="F136" i="4"/>
  <c r="D136" i="4"/>
  <c r="F135" i="4"/>
  <c r="D135" i="4"/>
  <c r="E135" i="4" s="1"/>
  <c r="F134" i="4"/>
  <c r="D134" i="4"/>
  <c r="E134" i="4" s="1"/>
  <c r="F133" i="4"/>
  <c r="D133" i="4"/>
  <c r="E133" i="4" s="1"/>
  <c r="F132" i="4"/>
  <c r="D132" i="4"/>
  <c r="E132" i="4" s="1"/>
  <c r="F131" i="4"/>
  <c r="D131" i="4"/>
  <c r="F130" i="4"/>
  <c r="D130" i="4"/>
  <c r="E130" i="4" s="1"/>
  <c r="F129" i="4"/>
  <c r="D129" i="4"/>
  <c r="E129" i="4" s="1"/>
  <c r="F128" i="4"/>
  <c r="D128" i="4"/>
  <c r="F127" i="4"/>
  <c r="D127" i="4"/>
  <c r="F126" i="4"/>
  <c r="D126" i="4"/>
  <c r="F125" i="4"/>
  <c r="D125" i="4"/>
  <c r="E125" i="4" s="1"/>
  <c r="F124" i="4"/>
  <c r="D124" i="4"/>
  <c r="F123" i="4"/>
  <c r="D123" i="4"/>
  <c r="E123" i="4" s="1"/>
  <c r="F122" i="4"/>
  <c r="D122" i="4"/>
  <c r="E122" i="4" s="1"/>
  <c r="F121" i="4"/>
  <c r="D121" i="4"/>
  <c r="E121" i="4" s="1"/>
  <c r="F120" i="4"/>
  <c r="D120" i="4"/>
  <c r="F119" i="4"/>
  <c r="D119" i="4"/>
  <c r="F118" i="4"/>
  <c r="D118" i="4"/>
  <c r="F117" i="4"/>
  <c r="D117" i="4"/>
  <c r="E117" i="4" s="1"/>
  <c r="F116" i="4"/>
  <c r="D116" i="4"/>
  <c r="E116" i="4" s="1"/>
  <c r="F115" i="4"/>
  <c r="D115" i="4"/>
  <c r="F114" i="4"/>
  <c r="D114" i="4"/>
  <c r="E114" i="4" s="1"/>
  <c r="F113" i="4"/>
  <c r="D113" i="4"/>
  <c r="E113" i="4" s="1"/>
  <c r="F112" i="4"/>
  <c r="D112" i="4"/>
  <c r="F111" i="4"/>
  <c r="D111" i="4"/>
  <c r="E111" i="4" s="1"/>
  <c r="F110" i="4"/>
  <c r="D110" i="4"/>
  <c r="F109" i="4"/>
  <c r="D109" i="4"/>
  <c r="F108" i="4"/>
  <c r="D108" i="4"/>
  <c r="F107" i="4"/>
  <c r="D107" i="4"/>
  <c r="E107" i="4" s="1"/>
  <c r="F106" i="4"/>
  <c r="D106" i="4"/>
  <c r="E106" i="4" s="1"/>
  <c r="F105" i="4"/>
  <c r="D105" i="4"/>
  <c r="E105" i="4" s="1"/>
  <c r="F104" i="4"/>
  <c r="D104" i="4"/>
  <c r="F103" i="4"/>
  <c r="D103" i="4"/>
  <c r="E103" i="4" s="1"/>
  <c r="F102" i="4"/>
  <c r="D102" i="4"/>
  <c r="F101" i="4"/>
  <c r="D101" i="4"/>
  <c r="E101" i="4" s="1"/>
  <c r="F100" i="4"/>
  <c r="D100" i="4"/>
  <c r="F99" i="4"/>
  <c r="D99" i="4"/>
  <c r="F98" i="4"/>
  <c r="D98" i="4"/>
  <c r="E98" i="4" s="1"/>
  <c r="F97" i="4"/>
  <c r="D97" i="4"/>
  <c r="E97" i="4" s="1"/>
  <c r="F96" i="4"/>
  <c r="D96" i="4"/>
  <c r="F95" i="4"/>
  <c r="D95" i="4"/>
  <c r="F94" i="4"/>
  <c r="D94" i="4"/>
  <c r="F93" i="4"/>
  <c r="D93" i="4"/>
  <c r="E93" i="4" s="1"/>
  <c r="F92" i="4"/>
  <c r="D92" i="4"/>
  <c r="F91" i="4"/>
  <c r="D91" i="4"/>
  <c r="E91" i="4" s="1"/>
  <c r="F90" i="4"/>
  <c r="D90" i="4"/>
  <c r="E90" i="4" s="1"/>
  <c r="F89" i="4"/>
  <c r="D89" i="4"/>
  <c r="E89" i="4" s="1"/>
  <c r="F88" i="4"/>
  <c r="D88" i="4"/>
  <c r="E88" i="4" s="1"/>
  <c r="F87" i="4"/>
  <c r="D87" i="4"/>
  <c r="F86" i="4"/>
  <c r="D86" i="4"/>
  <c r="F85" i="4"/>
  <c r="D85" i="4"/>
  <c r="E85" i="4" s="1"/>
  <c r="F84" i="4"/>
  <c r="D84" i="4"/>
  <c r="F83" i="4"/>
  <c r="D83" i="4"/>
  <c r="E83" i="4" s="1"/>
  <c r="F82" i="4"/>
  <c r="D82" i="4"/>
  <c r="E82" i="4" s="1"/>
  <c r="F81" i="4"/>
  <c r="D81" i="4"/>
  <c r="E81" i="4" s="1"/>
  <c r="F80" i="4"/>
  <c r="D80" i="4"/>
  <c r="E80" i="4" s="1"/>
  <c r="F79" i="4"/>
  <c r="D79" i="4"/>
  <c r="E79" i="4" s="1"/>
  <c r="F78" i="4"/>
  <c r="D78" i="4"/>
  <c r="F77" i="4"/>
  <c r="D77" i="4"/>
  <c r="F76" i="4"/>
  <c r="D76" i="4"/>
  <c r="F75" i="4"/>
  <c r="D75" i="4"/>
  <c r="F74" i="4"/>
  <c r="D74" i="4"/>
  <c r="E74" i="4" s="1"/>
  <c r="F73" i="4"/>
  <c r="D73" i="4"/>
  <c r="E73" i="4" s="1"/>
  <c r="F72" i="4"/>
  <c r="D72" i="4"/>
  <c r="F71" i="4"/>
  <c r="D71" i="4"/>
  <c r="E71" i="4" s="1"/>
  <c r="F70" i="4"/>
  <c r="D70" i="4"/>
  <c r="E70" i="4" s="1"/>
  <c r="F69" i="4"/>
  <c r="D69" i="4"/>
  <c r="E69" i="4" s="1"/>
  <c r="F68" i="4"/>
  <c r="D68" i="4"/>
  <c r="F67" i="4"/>
  <c r="D67" i="4"/>
  <c r="F66" i="4"/>
  <c r="D66" i="4"/>
  <c r="E66" i="4" s="1"/>
  <c r="F65" i="4"/>
  <c r="D65" i="4"/>
  <c r="E65" i="4" s="1"/>
  <c r="F64" i="4"/>
  <c r="D64" i="4"/>
  <c r="F63" i="4"/>
  <c r="D63" i="4"/>
  <c r="F62" i="4"/>
  <c r="D62" i="4"/>
  <c r="F61" i="4"/>
  <c r="D61" i="4"/>
  <c r="L66" i="4" l="1"/>
  <c r="O61" i="12"/>
  <c r="H61" i="12"/>
  <c r="I61" i="12" s="1"/>
  <c r="L61" i="12" s="1"/>
  <c r="M74" i="14"/>
  <c r="N74" i="14" s="1"/>
  <c r="L37" i="12"/>
  <c r="M163" i="14"/>
  <c r="N163" i="14" s="1"/>
  <c r="L49" i="12"/>
  <c r="Q22" i="14"/>
  <c r="Q161" i="14"/>
  <c r="M204" i="14"/>
  <c r="N204" i="14" s="1"/>
  <c r="L35" i="12"/>
  <c r="O53" i="12"/>
  <c r="H53" i="12"/>
  <c r="I53" i="12" s="1"/>
  <c r="L53" i="12" s="1"/>
  <c r="H56" i="12"/>
  <c r="I56" i="12" s="1"/>
  <c r="L56" i="12" s="1"/>
  <c r="O59" i="12"/>
  <c r="H59" i="12"/>
  <c r="I59" i="12" s="1"/>
  <c r="M148" i="14"/>
  <c r="N148" i="14" s="1"/>
  <c r="M187" i="14"/>
  <c r="N187" i="14" s="1"/>
  <c r="C24" i="13"/>
  <c r="M121" i="14"/>
  <c r="N121" i="14" s="1"/>
  <c r="M225" i="14"/>
  <c r="N225" i="14" s="1"/>
  <c r="O54" i="12"/>
  <c r="H54" i="12"/>
  <c r="I54" i="12" s="1"/>
  <c r="O57" i="12"/>
  <c r="H57" i="12"/>
  <c r="I57" i="12" s="1"/>
  <c r="L57" i="12" s="1"/>
  <c r="Q23" i="14"/>
  <c r="M51" i="14"/>
  <c r="N51" i="14" s="1"/>
  <c r="M219" i="14"/>
  <c r="N219" i="14" s="1"/>
  <c r="Q229" i="14"/>
  <c r="Q49" i="14"/>
  <c r="L32" i="12"/>
  <c r="Q193" i="14"/>
  <c r="C17" i="13"/>
  <c r="C23" i="13"/>
  <c r="E23" i="13" s="1"/>
  <c r="F23" i="13" s="1"/>
  <c r="C21" i="13"/>
  <c r="M50" i="14"/>
  <c r="N50" i="14" s="1"/>
  <c r="Q191" i="14"/>
  <c r="L28" i="12"/>
  <c r="M227" i="14"/>
  <c r="N227" i="14" s="1"/>
  <c r="M23" i="14"/>
  <c r="N23" i="14" s="1"/>
  <c r="M91" i="14"/>
  <c r="N91" i="14" s="1"/>
  <c r="C11" i="13"/>
  <c r="M63" i="14"/>
  <c r="N63" i="14" s="1"/>
  <c r="M129" i="14"/>
  <c r="N129" i="14" s="1"/>
  <c r="Q148" i="14"/>
  <c r="Q155" i="14"/>
  <c r="M165" i="14"/>
  <c r="N165" i="14" s="1"/>
  <c r="M200" i="14"/>
  <c r="N200" i="14" s="1"/>
  <c r="M11" i="15"/>
  <c r="C9" i="13"/>
  <c r="C28" i="13"/>
  <c r="Q14" i="14"/>
  <c r="M30" i="14"/>
  <c r="N30" i="14" s="1"/>
  <c r="M37" i="14"/>
  <c r="N37" i="14" s="1"/>
  <c r="M105" i="14"/>
  <c r="N105" i="14" s="1"/>
  <c r="Q125" i="14"/>
  <c r="Q137" i="14"/>
  <c r="M142" i="14"/>
  <c r="N142" i="14" s="1"/>
  <c r="M172" i="14"/>
  <c r="N172" i="14" s="1"/>
  <c r="M10" i="15"/>
  <c r="H52" i="12"/>
  <c r="I52" i="12" s="1"/>
  <c r="L52" i="12" s="1"/>
  <c r="Q30" i="14"/>
  <c r="M48" i="14"/>
  <c r="N48" i="14" s="1"/>
  <c r="M68" i="14"/>
  <c r="N68" i="14" s="1"/>
  <c r="M98" i="14"/>
  <c r="N98" i="14" s="1"/>
  <c r="M177" i="14"/>
  <c r="N177" i="14" s="1"/>
  <c r="L41" i="12"/>
  <c r="Q28" i="14"/>
  <c r="M44" i="14"/>
  <c r="N44" i="14" s="1"/>
  <c r="M100" i="14"/>
  <c r="N100" i="14" s="1"/>
  <c r="M166" i="14"/>
  <c r="N166" i="14" s="1"/>
  <c r="Q239" i="14"/>
  <c r="M114" i="14"/>
  <c r="N114" i="14" s="1"/>
  <c r="Q127" i="14"/>
  <c r="M144" i="14"/>
  <c r="N144" i="14" s="1"/>
  <c r="Q153" i="14"/>
  <c r="Q159" i="14"/>
  <c r="Q174" i="14"/>
  <c r="Q231" i="14"/>
  <c r="L26" i="12"/>
  <c r="Q114" i="14"/>
  <c r="M168" i="14"/>
  <c r="N168" i="14" s="1"/>
  <c r="L47" i="12"/>
  <c r="C16" i="13"/>
  <c r="Q85" i="14"/>
  <c r="Q105" i="14"/>
  <c r="M179" i="14"/>
  <c r="N179" i="14" s="1"/>
  <c r="H50" i="12"/>
  <c r="I50" i="12" s="1"/>
  <c r="L50" i="12" s="1"/>
  <c r="H55" i="12"/>
  <c r="I55" i="12" s="1"/>
  <c r="C22" i="13"/>
  <c r="E22" i="13" s="1"/>
  <c r="F22" i="13" s="1"/>
  <c r="Q10" i="14"/>
  <c r="M15" i="14"/>
  <c r="N15" i="14" s="1"/>
  <c r="Q19" i="14"/>
  <c r="L60" i="12"/>
  <c r="Q15" i="14"/>
  <c r="Q62" i="14"/>
  <c r="M86" i="14"/>
  <c r="N86" i="14" s="1"/>
  <c r="Q94" i="14"/>
  <c r="Q96" i="14"/>
  <c r="Q115" i="14"/>
  <c r="M120" i="14"/>
  <c r="N120" i="14" s="1"/>
  <c r="M122" i="14"/>
  <c r="N122" i="14" s="1"/>
  <c r="M152" i="14"/>
  <c r="N152" i="14" s="1"/>
  <c r="M193" i="14"/>
  <c r="N193" i="14" s="1"/>
  <c r="Q12" i="14"/>
  <c r="M21" i="14"/>
  <c r="N21" i="14" s="1"/>
  <c r="M25" i="14"/>
  <c r="N25" i="14" s="1"/>
  <c r="M29" i="14"/>
  <c r="N29" i="14" s="1"/>
  <c r="Q40" i="14"/>
  <c r="M46" i="14"/>
  <c r="N46" i="14" s="1"/>
  <c r="Q50" i="14"/>
  <c r="Q55" i="14"/>
  <c r="Q76" i="14"/>
  <c r="M78" i="14"/>
  <c r="N78" i="14" s="1"/>
  <c r="M85" i="14"/>
  <c r="N85" i="14" s="1"/>
  <c r="Q104" i="14"/>
  <c r="Q142" i="14"/>
  <c r="Q163" i="14"/>
  <c r="M198" i="14"/>
  <c r="N198" i="14" s="1"/>
  <c r="Q202" i="14"/>
  <c r="Q219" i="14"/>
  <c r="Q227" i="14"/>
  <c r="M229" i="14"/>
  <c r="N229" i="14" s="1"/>
  <c r="L40" i="12"/>
  <c r="C19" i="13"/>
  <c r="E19" i="13" s="1"/>
  <c r="F19" i="13" s="1"/>
  <c r="Q25" i="14"/>
  <c r="Q38" i="14"/>
  <c r="Q46" i="14"/>
  <c r="M60" i="14"/>
  <c r="N60" i="14" s="1"/>
  <c r="Q64" i="14"/>
  <c r="Q66" i="14"/>
  <c r="M83" i="14"/>
  <c r="N83" i="14" s="1"/>
  <c r="M109" i="14"/>
  <c r="N109" i="14" s="1"/>
  <c r="Q111" i="14"/>
  <c r="Q118" i="14"/>
  <c r="M132" i="14"/>
  <c r="N132" i="14" s="1"/>
  <c r="M145" i="14"/>
  <c r="N145" i="14" s="1"/>
  <c r="Q198" i="14"/>
  <c r="Q200" i="14"/>
  <c r="L24" i="12"/>
  <c r="L44" i="12"/>
  <c r="C10" i="13"/>
  <c r="E10" i="13" s="1"/>
  <c r="F10" i="13" s="1"/>
  <c r="C26" i="13"/>
  <c r="E26" i="13" s="1"/>
  <c r="F26" i="13" s="1"/>
  <c r="Q13" i="14"/>
  <c r="Q21" i="14"/>
  <c r="M31" i="14"/>
  <c r="N31" i="14" s="1"/>
  <c r="Q44" i="14"/>
  <c r="Q48" i="14"/>
  <c r="M58" i="14"/>
  <c r="N58" i="14" s="1"/>
  <c r="Q59" i="14"/>
  <c r="Q63" i="14"/>
  <c r="Q70" i="14"/>
  <c r="M73" i="14"/>
  <c r="N73" i="14" s="1"/>
  <c r="Q103" i="14"/>
  <c r="M115" i="14"/>
  <c r="N115" i="14" s="1"/>
  <c r="M126" i="14"/>
  <c r="N126" i="14" s="1"/>
  <c r="M143" i="14"/>
  <c r="N143" i="14" s="1"/>
  <c r="M147" i="14"/>
  <c r="N147" i="14" s="1"/>
  <c r="Q162" i="14"/>
  <c r="Q170" i="14"/>
  <c r="Q179" i="14"/>
  <c r="Q183" i="14"/>
  <c r="M199" i="14"/>
  <c r="N199" i="14" s="1"/>
  <c r="Q223" i="14"/>
  <c r="Q228" i="14"/>
  <c r="M240" i="14"/>
  <c r="N240" i="14" s="1"/>
  <c r="M22" i="14"/>
  <c r="N22" i="14" s="1"/>
  <c r="Q29" i="14"/>
  <c r="Q31" i="14"/>
  <c r="M49" i="14"/>
  <c r="N49" i="14" s="1"/>
  <c r="M53" i="14"/>
  <c r="N53" i="14" s="1"/>
  <c r="M62" i="14"/>
  <c r="N62" i="14" s="1"/>
  <c r="M64" i="14"/>
  <c r="N64" i="14" s="1"/>
  <c r="Q67" i="14"/>
  <c r="M71" i="14"/>
  <c r="N71" i="14" s="1"/>
  <c r="Q82" i="14"/>
  <c r="M88" i="14"/>
  <c r="N88" i="14" s="1"/>
  <c r="Q91" i="14"/>
  <c r="M106" i="14"/>
  <c r="N106" i="14" s="1"/>
  <c r="Q113" i="14"/>
  <c r="Q121" i="14"/>
  <c r="Q124" i="14"/>
  <c r="M133" i="14"/>
  <c r="N133" i="14" s="1"/>
  <c r="M137" i="14"/>
  <c r="N137" i="14" s="1"/>
  <c r="M139" i="14"/>
  <c r="N139" i="14" s="1"/>
  <c r="Q143" i="14"/>
  <c r="Q147" i="14"/>
  <c r="Q165" i="14"/>
  <c r="Q167" i="14"/>
  <c r="Q176" i="14"/>
  <c r="M184" i="14"/>
  <c r="N184" i="14" s="1"/>
  <c r="Q187" i="14"/>
  <c r="Q189" i="14"/>
  <c r="Q218" i="14"/>
  <c r="Q240" i="14"/>
  <c r="Q246" i="14"/>
  <c r="Q34" i="14"/>
  <c r="M38" i="14"/>
  <c r="N38" i="14" s="1"/>
  <c r="M40" i="14"/>
  <c r="N40" i="14" s="1"/>
  <c r="M42" i="14"/>
  <c r="N42" i="14" s="1"/>
  <c r="Q47" i="14"/>
  <c r="Q51" i="14"/>
  <c r="M57" i="14"/>
  <c r="N57" i="14" s="1"/>
  <c r="M65" i="14"/>
  <c r="N65" i="14" s="1"/>
  <c r="M94" i="14"/>
  <c r="N94" i="14" s="1"/>
  <c r="M99" i="14"/>
  <c r="N99" i="14" s="1"/>
  <c r="M103" i="14"/>
  <c r="N103" i="14" s="1"/>
  <c r="M119" i="14"/>
  <c r="N119" i="14" s="1"/>
  <c r="Q144" i="14"/>
  <c r="Q152" i="14"/>
  <c r="M156" i="14"/>
  <c r="N156" i="14" s="1"/>
  <c r="M160" i="14"/>
  <c r="N160" i="14" s="1"/>
  <c r="Q196" i="14"/>
  <c r="Q208" i="14"/>
  <c r="Q217" i="14"/>
  <c r="Q224" i="14"/>
  <c r="M231" i="14"/>
  <c r="N231" i="14" s="1"/>
  <c r="M235" i="14"/>
  <c r="N235" i="14" s="1"/>
  <c r="M237" i="14"/>
  <c r="N237" i="14" s="1"/>
  <c r="Q245" i="14"/>
  <c r="Q172" i="14"/>
  <c r="Q37" i="14"/>
  <c r="Q241" i="14"/>
  <c r="Q69" i="14"/>
  <c r="Q149" i="14"/>
  <c r="Q79" i="14"/>
  <c r="Q140" i="14"/>
  <c r="Q156" i="14"/>
  <c r="Q131" i="14"/>
  <c r="Q181" i="14"/>
  <c r="Q157" i="14"/>
  <c r="Q141" i="14"/>
  <c r="Q173" i="14"/>
  <c r="Q204" i="14"/>
  <c r="Q209" i="14"/>
  <c r="Q78" i="14"/>
  <c r="Q133" i="14"/>
  <c r="Q177" i="14"/>
  <c r="Q190" i="14"/>
  <c r="Q236" i="14"/>
  <c r="Q175" i="14"/>
  <c r="Q205" i="14"/>
  <c r="Q207" i="14"/>
  <c r="Q45" i="14"/>
  <c r="Q112" i="14"/>
  <c r="Q180" i="14"/>
  <c r="Q213" i="14"/>
  <c r="M19" i="14"/>
  <c r="N19" i="14" s="1"/>
  <c r="V21" i="14" s="1"/>
  <c r="M87" i="14"/>
  <c r="N87" i="14" s="1"/>
  <c r="M233" i="14"/>
  <c r="N233" i="14" s="1"/>
  <c r="V31" i="14"/>
  <c r="M14" i="14"/>
  <c r="N14" i="14" s="1"/>
  <c r="Q18" i="14"/>
  <c r="M24" i="14"/>
  <c r="N24" i="14" s="1"/>
  <c r="Q36" i="14"/>
  <c r="Q52" i="14"/>
  <c r="Q61" i="14"/>
  <c r="Q68" i="14"/>
  <c r="Q117" i="14"/>
  <c r="Q9" i="14"/>
  <c r="M20" i="14"/>
  <c r="N20" i="14" s="1"/>
  <c r="M27" i="14"/>
  <c r="N27" i="14" s="1"/>
  <c r="Q33" i="14"/>
  <c r="M84" i="14"/>
  <c r="N84" i="14" s="1"/>
  <c r="C90" i="14"/>
  <c r="K90" i="14" s="1"/>
  <c r="M90" i="14" s="1"/>
  <c r="N90" i="14" s="1"/>
  <c r="P89" i="14"/>
  <c r="Q89" i="14" s="1"/>
  <c r="M140" i="14"/>
  <c r="N140" i="14" s="1"/>
  <c r="M54" i="14"/>
  <c r="N54" i="14" s="1"/>
  <c r="V17" i="14"/>
  <c r="Q58" i="14"/>
  <c r="Q84" i="14"/>
  <c r="Q17" i="14"/>
  <c r="Q27" i="14"/>
  <c r="Q35" i="14"/>
  <c r="M55" i="14"/>
  <c r="N55" i="14" s="1"/>
  <c r="Q60" i="14"/>
  <c r="M79" i="14"/>
  <c r="N79" i="14" s="1"/>
  <c r="Q185" i="14"/>
  <c r="M33" i="14"/>
  <c r="N33" i="14" s="1"/>
  <c r="M52" i="14"/>
  <c r="N52" i="14" s="1"/>
  <c r="Q42" i="14"/>
  <c r="Q74" i="14"/>
  <c r="M10" i="14"/>
  <c r="N10" i="14" s="1"/>
  <c r="M28" i="14"/>
  <c r="N28" i="14" s="1"/>
  <c r="Q81" i="14"/>
  <c r="Q108" i="14"/>
  <c r="M207" i="14"/>
  <c r="N207" i="14" s="1"/>
  <c r="M213" i="14"/>
  <c r="N213" i="14" s="1"/>
  <c r="M112" i="14"/>
  <c r="N112" i="14" s="1"/>
  <c r="Q130" i="14"/>
  <c r="Q138" i="14"/>
  <c r="M158" i="14"/>
  <c r="N158" i="14" s="1"/>
  <c r="M239" i="14"/>
  <c r="N239" i="14" s="1"/>
  <c r="P88" i="14"/>
  <c r="Q88" i="14" s="1"/>
  <c r="M149" i="14"/>
  <c r="N149" i="14" s="1"/>
  <c r="Q211" i="14"/>
  <c r="M222" i="14"/>
  <c r="N222" i="14" s="1"/>
  <c r="V30" i="14"/>
  <c r="Q120" i="14"/>
  <c r="Q160" i="14"/>
  <c r="M173" i="14"/>
  <c r="N173" i="14" s="1"/>
  <c r="L7" i="14"/>
  <c r="M7" i="14" s="1"/>
  <c r="N7" i="14" s="1"/>
  <c r="K8" i="14"/>
  <c r="M8" i="14" s="1"/>
  <c r="N8" i="14" s="1"/>
  <c r="Q77" i="14"/>
  <c r="M81" i="14"/>
  <c r="N81" i="14" s="1"/>
  <c r="Q87" i="14"/>
  <c r="Q101" i="14"/>
  <c r="Q107" i="14"/>
  <c r="Q109" i="14"/>
  <c r="Q119" i="14"/>
  <c r="M131" i="14"/>
  <c r="N131" i="14" s="1"/>
  <c r="M169" i="14"/>
  <c r="N169" i="14" s="1"/>
  <c r="Q225" i="14"/>
  <c r="Q244" i="14"/>
  <c r="Q100" i="14"/>
  <c r="M104" i="14"/>
  <c r="N104" i="14" s="1"/>
  <c r="M151" i="14"/>
  <c r="N151" i="14" s="1"/>
  <c r="M183" i="14"/>
  <c r="N183" i="14" s="1"/>
  <c r="Q194" i="14"/>
  <c r="Q86" i="14"/>
  <c r="Q99" i="14"/>
  <c r="M108" i="14"/>
  <c r="N108" i="14" s="1"/>
  <c r="Q128" i="14"/>
  <c r="Q151" i="14"/>
  <c r="Q169" i="14"/>
  <c r="Q206" i="14"/>
  <c r="Q212" i="14"/>
  <c r="M136" i="14"/>
  <c r="N136" i="14" s="1"/>
  <c r="M191" i="14"/>
  <c r="N191" i="14" s="1"/>
  <c r="M236" i="14"/>
  <c r="N236" i="14" s="1"/>
  <c r="Q242" i="14"/>
  <c r="M117" i="14"/>
  <c r="N117" i="14" s="1"/>
  <c r="M125" i="14"/>
  <c r="N125" i="14" s="1"/>
  <c r="M162" i="14"/>
  <c r="N162" i="14" s="1"/>
  <c r="Q166" i="14"/>
  <c r="M190" i="14"/>
  <c r="N190" i="14" s="1"/>
  <c r="M194" i="14"/>
  <c r="N194" i="14" s="1"/>
  <c r="M243" i="14"/>
  <c r="N243" i="14" s="1"/>
  <c r="M116" i="14"/>
  <c r="N116" i="14" s="1"/>
  <c r="Q129" i="14"/>
  <c r="Q136" i="14"/>
  <c r="M146" i="14"/>
  <c r="N146" i="14" s="1"/>
  <c r="M167" i="14"/>
  <c r="N167" i="14" s="1"/>
  <c r="Q168" i="14"/>
  <c r="M181" i="14"/>
  <c r="N181" i="14" s="1"/>
  <c r="M188" i="14"/>
  <c r="N188" i="14" s="1"/>
  <c r="Q199" i="14"/>
  <c r="M205" i="14"/>
  <c r="N205" i="14" s="1"/>
  <c r="M220" i="14"/>
  <c r="N220" i="14" s="1"/>
  <c r="Q222" i="14"/>
  <c r="Q232" i="14"/>
  <c r="Q243" i="14"/>
  <c r="M159" i="14"/>
  <c r="N159" i="14" s="1"/>
  <c r="M185" i="14"/>
  <c r="N185" i="14" s="1"/>
  <c r="Q201" i="14"/>
  <c r="M212" i="14"/>
  <c r="N212" i="14" s="1"/>
  <c r="M241" i="14"/>
  <c r="N241" i="14" s="1"/>
  <c r="M153" i="14"/>
  <c r="N153" i="14" s="1"/>
  <c r="Q171" i="14"/>
  <c r="M211" i="14"/>
  <c r="N211" i="14" s="1"/>
  <c r="M217" i="14"/>
  <c r="N217" i="14" s="1"/>
  <c r="Q235" i="14"/>
  <c r="M245" i="14"/>
  <c r="N245" i="14" s="1"/>
  <c r="Q139" i="14"/>
  <c r="Q197" i="14"/>
  <c r="M209" i="14"/>
  <c r="N209" i="14" s="1"/>
  <c r="M216" i="14"/>
  <c r="N216" i="14" s="1"/>
  <c r="Q221" i="14"/>
  <c r="Q233" i="14"/>
  <c r="M244" i="14"/>
  <c r="N244" i="14" s="1"/>
  <c r="E17" i="13"/>
  <c r="F17" i="13" s="1"/>
  <c r="D17" i="13"/>
  <c r="D13" i="13"/>
  <c r="E13" i="13"/>
  <c r="F13" i="13" s="1"/>
  <c r="D24" i="13"/>
  <c r="E24" i="13"/>
  <c r="F24" i="13" s="1"/>
  <c r="E9" i="13"/>
  <c r="F9" i="13" s="1"/>
  <c r="D9" i="13"/>
  <c r="D20" i="13"/>
  <c r="E20" i="13"/>
  <c r="F20" i="13" s="1"/>
  <c r="D10" i="13"/>
  <c r="E27" i="13"/>
  <c r="F27" i="13" s="1"/>
  <c r="D27" i="13"/>
  <c r="E16" i="13"/>
  <c r="F16" i="13" s="1"/>
  <c r="D16" i="13"/>
  <c r="D28" i="13"/>
  <c r="E28" i="13"/>
  <c r="F28" i="13" s="1"/>
  <c r="D22" i="13"/>
  <c r="D23" i="13"/>
  <c r="C12" i="13"/>
  <c r="C15" i="13"/>
  <c r="C25" i="13"/>
  <c r="C29" i="13"/>
  <c r="C18" i="13"/>
  <c r="C14" i="13"/>
  <c r="C45" i="12"/>
  <c r="D45" i="12" s="1"/>
  <c r="C37" i="12"/>
  <c r="D37" i="12" s="1"/>
  <c r="C29" i="12"/>
  <c r="D29" i="12" s="1"/>
  <c r="C20" i="12"/>
  <c r="D20" i="12" s="1"/>
  <c r="C61" i="12"/>
  <c r="D61" i="12" s="1"/>
  <c r="C60" i="12"/>
  <c r="D60" i="12" s="1"/>
  <c r="C59" i="12"/>
  <c r="D59" i="12" s="1"/>
  <c r="C58" i="12"/>
  <c r="D58" i="12" s="1"/>
  <c r="C57" i="12"/>
  <c r="D57" i="12" s="1"/>
  <c r="C56" i="12"/>
  <c r="D56" i="12" s="1"/>
  <c r="C55" i="12"/>
  <c r="D55" i="12" s="1"/>
  <c r="C54" i="12"/>
  <c r="D54" i="12" s="1"/>
  <c r="C53" i="12"/>
  <c r="D53" i="12" s="1"/>
  <c r="C52" i="12"/>
  <c r="D52" i="12" s="1"/>
  <c r="C51" i="12"/>
  <c r="D51" i="12" s="1"/>
  <c r="C50" i="12"/>
  <c r="D50" i="12" s="1"/>
  <c r="C49" i="12"/>
  <c r="D49" i="12" s="1"/>
  <c r="C48" i="12"/>
  <c r="D48" i="12" s="1"/>
  <c r="C47" i="12"/>
  <c r="D47" i="12" s="1"/>
  <c r="C39" i="12"/>
  <c r="D39" i="12" s="1"/>
  <c r="C31" i="12"/>
  <c r="D31" i="12" s="1"/>
  <c r="C23" i="12"/>
  <c r="D23" i="12" s="1"/>
  <c r="C19" i="12"/>
  <c r="D19" i="12" s="1"/>
  <c r="C42" i="12"/>
  <c r="D42" i="12" s="1"/>
  <c r="C40" i="12"/>
  <c r="D40" i="12" s="1"/>
  <c r="C34" i="12"/>
  <c r="D34" i="12" s="1"/>
  <c r="C32" i="12"/>
  <c r="D32" i="12" s="1"/>
  <c r="C26" i="12"/>
  <c r="D26" i="12" s="1"/>
  <c r="C24" i="12"/>
  <c r="D24" i="12" s="1"/>
  <c r="C46" i="12"/>
  <c r="D46" i="12" s="1"/>
  <c r="C44" i="12"/>
  <c r="D44" i="12" s="1"/>
  <c r="C38" i="12"/>
  <c r="D38" i="12" s="1"/>
  <c r="C36" i="12"/>
  <c r="D36" i="12" s="1"/>
  <c r="C41" i="12"/>
  <c r="D41" i="12" s="1"/>
  <c r="C33" i="12"/>
  <c r="D33" i="12" s="1"/>
  <c r="C28" i="12"/>
  <c r="D28" i="12" s="1"/>
  <c r="C27" i="12"/>
  <c r="D27" i="12" s="1"/>
  <c r="C21" i="12"/>
  <c r="D21" i="12" s="1"/>
  <c r="L54" i="12"/>
  <c r="C35" i="12"/>
  <c r="D35" i="12" s="1"/>
  <c r="C18" i="12"/>
  <c r="D18" i="12" s="1"/>
  <c r="C22" i="12"/>
  <c r="D22" i="12" s="1"/>
  <c r="L27" i="12"/>
  <c r="C43" i="12"/>
  <c r="D43" i="12" s="1"/>
  <c r="C25" i="12"/>
  <c r="D25" i="12" s="1"/>
  <c r="C30" i="12"/>
  <c r="D30" i="12" s="1"/>
  <c r="L55" i="12"/>
  <c r="L43" i="12"/>
  <c r="L51" i="12"/>
  <c r="L59" i="12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15" i="4"/>
  <c r="N14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22" i="4"/>
  <c r="E16" i="4"/>
  <c r="E17" i="4"/>
  <c r="E18" i="4"/>
  <c r="E19" i="4"/>
  <c r="E20" i="4"/>
  <c r="E21" i="4"/>
  <c r="E15" i="4"/>
  <c r="E14" i="4"/>
  <c r="F51" i="4"/>
  <c r="E51" i="4"/>
  <c r="F29" i="5"/>
  <c r="V20" i="14" l="1"/>
  <c r="D21" i="13"/>
  <c r="E21" i="13"/>
  <c r="F21" i="13" s="1"/>
  <c r="D19" i="13"/>
  <c r="D26" i="13"/>
  <c r="D11" i="13"/>
  <c r="E11" i="13"/>
  <c r="F11" i="13" s="1"/>
  <c r="V22" i="14"/>
  <c r="V23" i="14"/>
  <c r="V19" i="14"/>
  <c r="Q7" i="14"/>
  <c r="P90" i="14"/>
  <c r="Q90" i="14" s="1"/>
  <c r="V25" i="14"/>
  <c r="V33" i="14"/>
  <c r="V32" i="14"/>
  <c r="V26" i="14"/>
  <c r="E15" i="13"/>
  <c r="F15" i="13" s="1"/>
  <c r="D15" i="13"/>
  <c r="D14" i="13"/>
  <c r="E14" i="13"/>
  <c r="F14" i="13" s="1"/>
  <c r="E18" i="13"/>
  <c r="F18" i="13" s="1"/>
  <c r="D18" i="13"/>
  <c r="E29" i="13"/>
  <c r="F29" i="13" s="1"/>
  <c r="D29" i="13"/>
  <c r="E25" i="13"/>
  <c r="F25" i="13" s="1"/>
  <c r="D25" i="13"/>
  <c r="E12" i="13"/>
  <c r="F12" i="13" s="1"/>
  <c r="D12" i="13"/>
  <c r="M30" i="12"/>
  <c r="Q30" i="12"/>
  <c r="N30" i="12"/>
  <c r="P30" i="12"/>
  <c r="K30" i="12"/>
  <c r="U30" i="12"/>
  <c r="T30" i="12"/>
  <c r="J30" i="12"/>
  <c r="M44" i="12"/>
  <c r="U44" i="12"/>
  <c r="K44" i="12"/>
  <c r="Q44" i="12"/>
  <c r="P44" i="12"/>
  <c r="N44" i="12"/>
  <c r="T44" i="12"/>
  <c r="J44" i="12"/>
  <c r="U19" i="12"/>
  <c r="K19" i="12"/>
  <c r="T19" i="12"/>
  <c r="N19" i="12"/>
  <c r="M19" i="12"/>
  <c r="J19" i="12"/>
  <c r="N51" i="12"/>
  <c r="M51" i="12"/>
  <c r="K51" i="12"/>
  <c r="U51" i="12"/>
  <c r="J51" i="12"/>
  <c r="T51" i="12"/>
  <c r="Q51" i="12"/>
  <c r="P51" i="12"/>
  <c r="N59" i="12"/>
  <c r="M59" i="12"/>
  <c r="K59" i="12"/>
  <c r="U59" i="12"/>
  <c r="J59" i="12"/>
  <c r="T59" i="12"/>
  <c r="Q59" i="12"/>
  <c r="P59" i="12"/>
  <c r="T25" i="12"/>
  <c r="J25" i="12"/>
  <c r="P25" i="12"/>
  <c r="K25" i="12"/>
  <c r="Q25" i="12"/>
  <c r="M25" i="12"/>
  <c r="U25" i="12"/>
  <c r="N25" i="12"/>
  <c r="N21" i="12"/>
  <c r="K21" i="12"/>
  <c r="M21" i="12"/>
  <c r="J21" i="12"/>
  <c r="U21" i="12"/>
  <c r="T21" i="12"/>
  <c r="M46" i="12"/>
  <c r="Q46" i="12"/>
  <c r="P46" i="12"/>
  <c r="N46" i="12"/>
  <c r="U46" i="12"/>
  <c r="T46" i="12"/>
  <c r="K46" i="12"/>
  <c r="J46" i="12"/>
  <c r="P23" i="12"/>
  <c r="N23" i="12"/>
  <c r="K23" i="12"/>
  <c r="T23" i="12"/>
  <c r="M23" i="12"/>
  <c r="U23" i="12"/>
  <c r="Q23" i="12"/>
  <c r="J23" i="12"/>
  <c r="N52" i="12"/>
  <c r="M52" i="12"/>
  <c r="U52" i="12"/>
  <c r="Q52" i="12"/>
  <c r="P52" i="12"/>
  <c r="K52" i="12"/>
  <c r="J52" i="12"/>
  <c r="T52" i="12"/>
  <c r="N60" i="12"/>
  <c r="M60" i="12"/>
  <c r="T60" i="12"/>
  <c r="Q60" i="12"/>
  <c r="K60" i="12"/>
  <c r="J60" i="12"/>
  <c r="U60" i="12"/>
  <c r="P60" i="12"/>
  <c r="T43" i="12"/>
  <c r="J43" i="12"/>
  <c r="M43" i="12"/>
  <c r="K43" i="12"/>
  <c r="U43" i="12"/>
  <c r="Q43" i="12"/>
  <c r="N43" i="12"/>
  <c r="P43" i="12"/>
  <c r="T27" i="12"/>
  <c r="J27" i="12"/>
  <c r="M27" i="12"/>
  <c r="U27" i="12"/>
  <c r="Q27" i="12"/>
  <c r="N27" i="12"/>
  <c r="K27" i="12"/>
  <c r="P27" i="12"/>
  <c r="Q24" i="12"/>
  <c r="P24" i="12"/>
  <c r="M24" i="12"/>
  <c r="N24" i="12"/>
  <c r="K24" i="12"/>
  <c r="J24" i="12"/>
  <c r="U24" i="12"/>
  <c r="T24" i="12"/>
  <c r="P31" i="12"/>
  <c r="N31" i="12"/>
  <c r="K31" i="12"/>
  <c r="T31" i="12"/>
  <c r="Q31" i="12"/>
  <c r="M31" i="12"/>
  <c r="J31" i="12"/>
  <c r="U31" i="12"/>
  <c r="N53" i="12"/>
  <c r="M53" i="12"/>
  <c r="Q53" i="12"/>
  <c r="P53" i="12"/>
  <c r="K53" i="12"/>
  <c r="J53" i="12"/>
  <c r="T53" i="12"/>
  <c r="U53" i="12"/>
  <c r="N61" i="12"/>
  <c r="M61" i="12"/>
  <c r="U61" i="12"/>
  <c r="T61" i="12"/>
  <c r="P61" i="12"/>
  <c r="K61" i="12"/>
  <c r="Q61" i="12"/>
  <c r="J61" i="12"/>
  <c r="M28" i="12"/>
  <c r="U28" i="12"/>
  <c r="K28" i="12"/>
  <c r="Q28" i="12"/>
  <c r="N28" i="12"/>
  <c r="T28" i="12"/>
  <c r="P28" i="12"/>
  <c r="J28" i="12"/>
  <c r="U26" i="12"/>
  <c r="K26" i="12"/>
  <c r="Q26" i="12"/>
  <c r="P26" i="12"/>
  <c r="M26" i="12"/>
  <c r="J26" i="12"/>
  <c r="N26" i="12"/>
  <c r="T26" i="12"/>
  <c r="P39" i="12"/>
  <c r="N39" i="12"/>
  <c r="K39" i="12"/>
  <c r="J39" i="12"/>
  <c r="T39" i="12"/>
  <c r="Q39" i="12"/>
  <c r="M39" i="12"/>
  <c r="U39" i="12"/>
  <c r="N54" i="12"/>
  <c r="M54" i="12"/>
  <c r="K54" i="12"/>
  <c r="J54" i="12"/>
  <c r="U54" i="12"/>
  <c r="T54" i="12"/>
  <c r="Q54" i="12"/>
  <c r="P54" i="12"/>
  <c r="K22" i="12"/>
  <c r="N22" i="12"/>
  <c r="U22" i="12"/>
  <c r="T22" i="12"/>
  <c r="M22" i="12"/>
  <c r="J22" i="12"/>
  <c r="T33" i="12"/>
  <c r="J33" i="12"/>
  <c r="P33" i="12"/>
  <c r="K33" i="12"/>
  <c r="Q33" i="12"/>
  <c r="N33" i="12"/>
  <c r="M33" i="12"/>
  <c r="U33" i="12"/>
  <c r="Q32" i="12"/>
  <c r="P32" i="12"/>
  <c r="M32" i="12"/>
  <c r="N32" i="12"/>
  <c r="K32" i="12"/>
  <c r="T32" i="12"/>
  <c r="U32" i="12"/>
  <c r="J32" i="12"/>
  <c r="M47" i="12"/>
  <c r="J47" i="12"/>
  <c r="U47" i="12"/>
  <c r="Q47" i="12"/>
  <c r="P47" i="12"/>
  <c r="T47" i="12"/>
  <c r="N47" i="12"/>
  <c r="K47" i="12"/>
  <c r="N55" i="12"/>
  <c r="M55" i="12"/>
  <c r="U55" i="12"/>
  <c r="T55" i="12"/>
  <c r="P55" i="12"/>
  <c r="Q55" i="12"/>
  <c r="K55" i="12"/>
  <c r="J55" i="12"/>
  <c r="U20" i="12"/>
  <c r="N20" i="12"/>
  <c r="K20" i="12"/>
  <c r="M20" i="12"/>
  <c r="J20" i="12"/>
  <c r="T20" i="12"/>
  <c r="K18" i="12"/>
  <c r="J18" i="12"/>
  <c r="T18" i="12"/>
  <c r="N18" i="12"/>
  <c r="M18" i="12"/>
  <c r="U18" i="12"/>
  <c r="T41" i="12"/>
  <c r="J41" i="12"/>
  <c r="P41" i="12"/>
  <c r="K41" i="12"/>
  <c r="Q41" i="12"/>
  <c r="U41" i="12"/>
  <c r="N41" i="12"/>
  <c r="M41" i="12"/>
  <c r="U34" i="12"/>
  <c r="K34" i="12"/>
  <c r="Q34" i="12"/>
  <c r="P34" i="12"/>
  <c r="M34" i="12"/>
  <c r="N34" i="12"/>
  <c r="J34" i="12"/>
  <c r="T34" i="12"/>
  <c r="N48" i="12"/>
  <c r="M48" i="12"/>
  <c r="P48" i="12"/>
  <c r="J48" i="12"/>
  <c r="U48" i="12"/>
  <c r="T48" i="12"/>
  <c r="K48" i="12"/>
  <c r="Q48" i="12"/>
  <c r="N56" i="12"/>
  <c r="M56" i="12"/>
  <c r="P56" i="12"/>
  <c r="J56" i="12"/>
  <c r="U56" i="12"/>
  <c r="T56" i="12"/>
  <c r="Q56" i="12"/>
  <c r="K56" i="12"/>
  <c r="N29" i="12"/>
  <c r="M29" i="12"/>
  <c r="U29" i="12"/>
  <c r="T29" i="12"/>
  <c r="Q29" i="12"/>
  <c r="P29" i="12"/>
  <c r="K29" i="12"/>
  <c r="J29" i="12"/>
  <c r="T35" i="12"/>
  <c r="J35" i="12"/>
  <c r="M35" i="12"/>
  <c r="K35" i="12"/>
  <c r="U35" i="12"/>
  <c r="Q35" i="12"/>
  <c r="P35" i="12"/>
  <c r="N35" i="12"/>
  <c r="M36" i="12"/>
  <c r="U36" i="12"/>
  <c r="K36" i="12"/>
  <c r="Q36" i="12"/>
  <c r="P36" i="12"/>
  <c r="N36" i="12"/>
  <c r="T36" i="12"/>
  <c r="J36" i="12"/>
  <c r="Q40" i="12"/>
  <c r="P40" i="12"/>
  <c r="M40" i="12"/>
  <c r="K40" i="12"/>
  <c r="J40" i="12"/>
  <c r="U40" i="12"/>
  <c r="T40" i="12"/>
  <c r="N40" i="12"/>
  <c r="N49" i="12"/>
  <c r="M49" i="12"/>
  <c r="J49" i="12"/>
  <c r="T49" i="12"/>
  <c r="Q49" i="12"/>
  <c r="U49" i="12"/>
  <c r="K49" i="12"/>
  <c r="P49" i="12"/>
  <c r="N57" i="12"/>
  <c r="M57" i="12"/>
  <c r="J57" i="12"/>
  <c r="T57" i="12"/>
  <c r="Q57" i="12"/>
  <c r="U57" i="12"/>
  <c r="P57" i="12"/>
  <c r="K57" i="12"/>
  <c r="N37" i="12"/>
  <c r="M37" i="12"/>
  <c r="K37" i="12"/>
  <c r="U37" i="12"/>
  <c r="T37" i="12"/>
  <c r="J37" i="12"/>
  <c r="P37" i="12"/>
  <c r="Q37" i="12"/>
  <c r="M38" i="12"/>
  <c r="Q38" i="12"/>
  <c r="P38" i="12"/>
  <c r="N38" i="12"/>
  <c r="K38" i="12"/>
  <c r="J38" i="12"/>
  <c r="T38" i="12"/>
  <c r="U38" i="12"/>
  <c r="U42" i="12"/>
  <c r="K42" i="12"/>
  <c r="Q42" i="12"/>
  <c r="P42" i="12"/>
  <c r="M42" i="12"/>
  <c r="J42" i="12"/>
  <c r="N42" i="12"/>
  <c r="T42" i="12"/>
  <c r="N50" i="12"/>
  <c r="M50" i="12"/>
  <c r="T50" i="12"/>
  <c r="Q50" i="12"/>
  <c r="K50" i="12"/>
  <c r="P50" i="12"/>
  <c r="J50" i="12"/>
  <c r="U50" i="12"/>
  <c r="N58" i="12"/>
  <c r="M58" i="12"/>
  <c r="T58" i="12"/>
  <c r="Q58" i="12"/>
  <c r="K58" i="12"/>
  <c r="J58" i="12"/>
  <c r="U58" i="12"/>
  <c r="P58" i="12"/>
  <c r="N45" i="12"/>
  <c r="M45" i="12"/>
  <c r="K45" i="12"/>
  <c r="U45" i="12"/>
  <c r="T45" i="12"/>
  <c r="Q45" i="12"/>
  <c r="P45" i="12"/>
  <c r="J45" i="12"/>
  <c r="V27" i="14" l="1"/>
  <c r="V28" i="14"/>
  <c r="X77" i="9"/>
  <c r="W84" i="9" s="1"/>
  <c r="X61" i="5"/>
  <c r="C83" i="10" l="1"/>
  <c r="C93" i="10"/>
  <c r="C94" i="10" s="1"/>
  <c r="F26" i="10"/>
  <c r="F16" i="10"/>
  <c r="F17" i="10"/>
  <c r="F18" i="10"/>
  <c r="F19" i="10"/>
  <c r="F20" i="10"/>
  <c r="F21" i="10"/>
  <c r="F22" i="10"/>
  <c r="F23" i="10"/>
  <c r="F24" i="10"/>
  <c r="F25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15" i="10"/>
  <c r="F14" i="10"/>
  <c r="X29" i="9"/>
  <c r="W85" i="9" s="1"/>
  <c r="X45" i="9"/>
  <c r="X61" i="9"/>
  <c r="O93" i="9"/>
  <c r="N100" i="9" s="1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15" i="9"/>
  <c r="W14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15" i="9"/>
  <c r="N14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15" i="9"/>
  <c r="E14" i="9"/>
  <c r="X45" i="5"/>
  <c r="X29" i="5"/>
  <c r="O73" i="5"/>
  <c r="O33" i="5"/>
  <c r="F61" i="5"/>
  <c r="F4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15" i="5"/>
  <c r="W14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15" i="5"/>
  <c r="N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14" i="5"/>
  <c r="F84" i="10"/>
  <c r="K98" i="9"/>
  <c r="K99" i="9" s="1"/>
  <c r="E82" i="9"/>
  <c r="T83" i="9"/>
  <c r="O33" i="9"/>
  <c r="N101" i="9" s="1"/>
  <c r="O53" i="9"/>
  <c r="N99" i="9" s="1"/>
  <c r="O73" i="9"/>
  <c r="F77" i="9"/>
  <c r="E84" i="9" s="1"/>
  <c r="F61" i="9"/>
  <c r="F45" i="9"/>
  <c r="E83" i="9" s="1"/>
  <c r="F29" i="9"/>
  <c r="E85" i="9" s="1"/>
  <c r="G77" i="10"/>
  <c r="G61" i="10"/>
  <c r="G45" i="10"/>
  <c r="G29" i="10"/>
  <c r="F85" i="10" s="1"/>
  <c r="W83" i="9"/>
  <c r="J10" i="9"/>
  <c r="J11" i="9"/>
  <c r="W70" i="5"/>
  <c r="B70" i="7"/>
  <c r="T68" i="5"/>
  <c r="T69" i="5" s="1"/>
  <c r="B77" i="5"/>
  <c r="B78" i="5" s="1"/>
  <c r="K77" i="5"/>
  <c r="J10" i="5"/>
  <c r="J11" i="5" s="1"/>
  <c r="F40" i="4"/>
  <c r="F31" i="4"/>
  <c r="F22" i="4"/>
  <c r="B10" i="4"/>
  <c r="B11" i="4" s="1"/>
  <c r="B11" i="7"/>
  <c r="B10" i="7"/>
  <c r="E7" i="8"/>
  <c r="E8" i="8" s="1"/>
  <c r="E9" i="8" s="1"/>
  <c r="E6" i="8"/>
  <c r="I21" i="8"/>
  <c r="I22" i="8"/>
  <c r="I25" i="8"/>
  <c r="I28" i="8"/>
  <c r="I29" i="8"/>
  <c r="I30" i="8"/>
  <c r="I33" i="8"/>
  <c r="I36" i="8"/>
  <c r="I37" i="8"/>
  <c r="I38" i="8"/>
  <c r="I41" i="8"/>
  <c r="I44" i="8"/>
  <c r="I45" i="8"/>
  <c r="I46" i="8"/>
  <c r="I49" i="8"/>
  <c r="I52" i="8"/>
  <c r="I53" i="8"/>
  <c r="I54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20" i="8"/>
  <c r="F21" i="8"/>
  <c r="F22" i="8"/>
  <c r="F23" i="8"/>
  <c r="I23" i="8" s="1"/>
  <c r="F24" i="8"/>
  <c r="I24" i="8" s="1"/>
  <c r="F25" i="8"/>
  <c r="F26" i="8"/>
  <c r="I26" i="8" s="1"/>
  <c r="F27" i="8"/>
  <c r="I27" i="8" s="1"/>
  <c r="F28" i="8"/>
  <c r="F29" i="8"/>
  <c r="F30" i="8"/>
  <c r="F31" i="8"/>
  <c r="I31" i="8" s="1"/>
  <c r="F32" i="8"/>
  <c r="I32" i="8" s="1"/>
  <c r="F33" i="8"/>
  <c r="F34" i="8"/>
  <c r="I34" i="8" s="1"/>
  <c r="F35" i="8"/>
  <c r="I35" i="8" s="1"/>
  <c r="F36" i="8"/>
  <c r="F37" i="8"/>
  <c r="F38" i="8"/>
  <c r="F39" i="8"/>
  <c r="I39" i="8" s="1"/>
  <c r="F40" i="8"/>
  <c r="I40" i="8" s="1"/>
  <c r="F41" i="8"/>
  <c r="F42" i="8"/>
  <c r="I42" i="8" s="1"/>
  <c r="F43" i="8"/>
  <c r="I43" i="8" s="1"/>
  <c r="F44" i="8"/>
  <c r="F45" i="8"/>
  <c r="F46" i="8"/>
  <c r="F47" i="8"/>
  <c r="I47" i="8" s="1"/>
  <c r="F48" i="8"/>
  <c r="I48" i="8" s="1"/>
  <c r="F49" i="8"/>
  <c r="F50" i="8"/>
  <c r="I50" i="8" s="1"/>
  <c r="F51" i="8"/>
  <c r="I51" i="8" s="1"/>
  <c r="F52" i="8"/>
  <c r="F53" i="8"/>
  <c r="F54" i="8"/>
  <c r="F20" i="8"/>
  <c r="I20" i="8" s="1"/>
  <c r="C9" i="10"/>
  <c r="C10" i="10" s="1"/>
  <c r="C11" i="10" s="1"/>
  <c r="F4" i="10"/>
  <c r="F81" i="10" s="1"/>
  <c r="F5" i="10"/>
  <c r="B9" i="9"/>
  <c r="B10" i="9" s="1"/>
  <c r="B11" i="9" s="1"/>
  <c r="E4" i="9"/>
  <c r="G6" i="9" s="1"/>
  <c r="M4" i="9"/>
  <c r="N97" i="9" s="1"/>
  <c r="M5" i="9"/>
  <c r="B83" i="9"/>
  <c r="R9" i="9"/>
  <c r="R10" i="9" s="1"/>
  <c r="R11" i="9" s="1"/>
  <c r="U5" i="9"/>
  <c r="W82" i="9" s="1"/>
  <c r="U4" i="9"/>
  <c r="W6" i="9" s="1"/>
  <c r="B10" i="8"/>
  <c r="B11" i="8" s="1"/>
  <c r="B7" i="8"/>
  <c r="B8" i="8" s="1"/>
  <c r="E5" i="7"/>
  <c r="B7" i="7" s="1"/>
  <c r="B8" i="7" s="1"/>
  <c r="M73" i="7"/>
  <c r="U61" i="7"/>
  <c r="E61" i="7"/>
  <c r="E7" i="7" s="1"/>
  <c r="E6" i="7" s="1"/>
  <c r="M53" i="7"/>
  <c r="U45" i="7"/>
  <c r="E45" i="7"/>
  <c r="M33" i="7"/>
  <c r="U29" i="7"/>
  <c r="E29" i="7"/>
  <c r="J11" i="7"/>
  <c r="J10" i="7"/>
  <c r="R9" i="7"/>
  <c r="R10" i="7" s="1"/>
  <c r="R11" i="7" s="1"/>
  <c r="U5" i="7"/>
  <c r="R67" i="7" s="1"/>
  <c r="R68" i="7" s="1"/>
  <c r="M5" i="7"/>
  <c r="U4" i="7"/>
  <c r="M4" i="7"/>
  <c r="K109" i="9" l="1"/>
  <c r="K110" i="9" s="1"/>
  <c r="T93" i="9"/>
  <c r="T94" i="9" s="1"/>
  <c r="B71" i="7"/>
  <c r="J78" i="7"/>
  <c r="J79" i="7" s="1"/>
  <c r="H6" i="10"/>
  <c r="C7" i="10"/>
  <c r="C8" i="10" s="1"/>
  <c r="R7" i="7"/>
  <c r="F82" i="10"/>
  <c r="F83" i="10"/>
  <c r="W81" i="9"/>
  <c r="W87" i="9" s="1"/>
  <c r="E5" i="11" s="1"/>
  <c r="M7" i="9"/>
  <c r="M6" i="9" s="1"/>
  <c r="E81" i="9"/>
  <c r="B93" i="9"/>
  <c r="B94" i="9" s="1"/>
  <c r="N98" i="9"/>
  <c r="N104" i="9" s="1"/>
  <c r="E10" i="11" s="1"/>
  <c r="U7" i="9"/>
  <c r="U6" i="9" s="1"/>
  <c r="B7" i="9"/>
  <c r="B8" i="9" s="1"/>
  <c r="W71" i="5"/>
  <c r="F7" i="10"/>
  <c r="F6" i="10" s="1"/>
  <c r="E7" i="9"/>
  <c r="E6" i="9" s="1"/>
  <c r="U7" i="7"/>
  <c r="U6" i="7" s="1"/>
  <c r="G8" i="8"/>
  <c r="W7" i="9"/>
  <c r="W9" i="9" s="1"/>
  <c r="J7" i="9"/>
  <c r="G7" i="9"/>
  <c r="G10" i="9" s="1"/>
  <c r="R7" i="9"/>
  <c r="R8" i="9" s="1"/>
  <c r="G7" i="7"/>
  <c r="F45" i="7"/>
  <c r="F29" i="7"/>
  <c r="J7" i="7"/>
  <c r="M7" i="7"/>
  <c r="M6" i="7" s="1"/>
  <c r="F61" i="7"/>
  <c r="R9" i="5"/>
  <c r="R10" i="5" s="1"/>
  <c r="U5" i="5"/>
  <c r="W68" i="5" s="1"/>
  <c r="U4" i="5"/>
  <c r="N79" i="5"/>
  <c r="O53" i="5"/>
  <c r="N78" i="5" s="1"/>
  <c r="E78" i="5"/>
  <c r="E79" i="5"/>
  <c r="H29" i="10" l="1"/>
  <c r="H45" i="10"/>
  <c r="H77" i="10"/>
  <c r="H61" i="10"/>
  <c r="Y61" i="9"/>
  <c r="Y77" i="9"/>
  <c r="E88" i="9"/>
  <c r="E9" i="11" s="1"/>
  <c r="E87" i="9"/>
  <c r="E7" i="11" s="1"/>
  <c r="W88" i="9"/>
  <c r="E11" i="11" s="1"/>
  <c r="W86" i="9"/>
  <c r="W6" i="7"/>
  <c r="R8" i="7"/>
  <c r="E86" i="9"/>
  <c r="F88" i="10"/>
  <c r="F9" i="11" s="1"/>
  <c r="F87" i="10"/>
  <c r="F5" i="11" s="1"/>
  <c r="F86" i="10"/>
  <c r="J8" i="7"/>
  <c r="N33" i="7" s="1"/>
  <c r="O7" i="7"/>
  <c r="H7" i="10"/>
  <c r="H11" i="10" s="1"/>
  <c r="H8" i="10"/>
  <c r="N103" i="9"/>
  <c r="E6" i="11" s="1"/>
  <c r="G8" i="9"/>
  <c r="Y29" i="9"/>
  <c r="Y45" i="9"/>
  <c r="J8" i="9"/>
  <c r="O6" i="9"/>
  <c r="G45" i="9"/>
  <c r="G61" i="9"/>
  <c r="G29" i="9"/>
  <c r="G77" i="9"/>
  <c r="N80" i="5"/>
  <c r="T79" i="5"/>
  <c r="T80" i="5" s="1"/>
  <c r="W67" i="5"/>
  <c r="W73" i="5" s="1"/>
  <c r="D5" i="11" s="1"/>
  <c r="U7" i="5"/>
  <c r="U6" i="5" s="1"/>
  <c r="W69" i="5"/>
  <c r="W6" i="5"/>
  <c r="R7" i="5"/>
  <c r="R8" i="5" s="1"/>
  <c r="Y45" i="5" s="1"/>
  <c r="M7" i="5"/>
  <c r="E7" i="5"/>
  <c r="E6" i="5" s="1"/>
  <c r="G9" i="8"/>
  <c r="G16" i="8" s="1"/>
  <c r="H9" i="10"/>
  <c r="H10" i="10"/>
  <c r="G9" i="9"/>
  <c r="N102" i="9"/>
  <c r="W8" i="9"/>
  <c r="G11" i="9"/>
  <c r="W11" i="9"/>
  <c r="W10" i="9"/>
  <c r="G8" i="7"/>
  <c r="G11" i="7" s="1"/>
  <c r="E9" i="7"/>
  <c r="E8" i="7" s="1"/>
  <c r="N73" i="7"/>
  <c r="N53" i="7"/>
  <c r="E80" i="5"/>
  <c r="O13" i="7" l="1"/>
  <c r="M9" i="7"/>
  <c r="M8" i="7" s="1"/>
  <c r="V45" i="7"/>
  <c r="V29" i="7"/>
  <c r="V61" i="7"/>
  <c r="O8" i="7"/>
  <c r="O12" i="7" s="1"/>
  <c r="O9" i="7"/>
  <c r="O10" i="7"/>
  <c r="O11" i="7"/>
  <c r="W8" i="7"/>
  <c r="W11" i="7"/>
  <c r="W7" i="7"/>
  <c r="W10" i="7" s="1"/>
  <c r="W9" i="7"/>
  <c r="G12" i="7"/>
  <c r="F9" i="10"/>
  <c r="F8" i="10" s="1"/>
  <c r="U9" i="9"/>
  <c r="U8" i="9" s="1"/>
  <c r="P33" i="9"/>
  <c r="P53" i="9"/>
  <c r="P93" i="9"/>
  <c r="P73" i="9"/>
  <c r="E9" i="9"/>
  <c r="E8" i="9" s="1"/>
  <c r="O7" i="9"/>
  <c r="O8" i="9" s="1"/>
  <c r="W7" i="5"/>
  <c r="W11" i="5" s="1"/>
  <c r="W72" i="5"/>
  <c r="Y61" i="5"/>
  <c r="Y29" i="5"/>
  <c r="G11" i="8"/>
  <c r="G15" i="8"/>
  <c r="G10" i="8"/>
  <c r="G12" i="8"/>
  <c r="G13" i="8"/>
  <c r="G14" i="8"/>
  <c r="G9" i="7"/>
  <c r="G10" i="7"/>
  <c r="K78" i="5"/>
  <c r="R11" i="5"/>
  <c r="B10" i="5"/>
  <c r="B11" i="5" s="1"/>
  <c r="M5" i="5"/>
  <c r="E5" i="5"/>
  <c r="E77" i="5" s="1"/>
  <c r="M4" i="5"/>
  <c r="E4" i="5"/>
  <c r="E76" i="5" s="1"/>
  <c r="B51" i="4"/>
  <c r="B53" i="4"/>
  <c r="B52" i="4"/>
  <c r="K45" i="4"/>
  <c r="K46" i="4" s="1"/>
  <c r="B45" i="4"/>
  <c r="B46" i="4" s="1"/>
  <c r="M5" i="4"/>
  <c r="K49" i="4" s="1"/>
  <c r="M4" i="4"/>
  <c r="O40" i="4"/>
  <c r="K51" i="4" s="1"/>
  <c r="O31" i="4"/>
  <c r="K50" i="4" s="1"/>
  <c r="O22" i="4"/>
  <c r="K52" i="4" s="1"/>
  <c r="J10" i="4"/>
  <c r="J11" i="4" s="1"/>
  <c r="E4" i="4"/>
  <c r="B49" i="4" s="1"/>
  <c r="E5" i="4"/>
  <c r="B50" i="4" s="1"/>
  <c r="M68" i="4" s="1"/>
  <c r="J57" i="4" l="1"/>
  <c r="B57" i="4"/>
  <c r="B55" i="4"/>
  <c r="M67" i="4"/>
  <c r="M66" i="4"/>
  <c r="B56" i="4"/>
  <c r="U9" i="7"/>
  <c r="U8" i="7" s="1"/>
  <c r="E82" i="5"/>
  <c r="D6" i="11" s="1"/>
  <c r="B54" i="4"/>
  <c r="K48" i="4"/>
  <c r="K54" i="4" s="1"/>
  <c r="J7" i="4"/>
  <c r="J8" i="4" s="1"/>
  <c r="O11" i="9"/>
  <c r="M9" i="9"/>
  <c r="M8" i="9" s="1"/>
  <c r="O10" i="9"/>
  <c r="O9" i="9"/>
  <c r="W9" i="5"/>
  <c r="U9" i="5"/>
  <c r="U8" i="5" s="1"/>
  <c r="W8" i="5"/>
  <c r="W10" i="5"/>
  <c r="J7" i="5"/>
  <c r="J8" i="5" s="1"/>
  <c r="B88" i="5"/>
  <c r="B89" i="5" s="1"/>
  <c r="E81" i="5"/>
  <c r="N76" i="5"/>
  <c r="K88" i="5"/>
  <c r="K89" i="5" s="1"/>
  <c r="O6" i="5"/>
  <c r="O7" i="5" s="1"/>
  <c r="O9" i="5" s="1"/>
  <c r="N77" i="5"/>
  <c r="G6" i="5"/>
  <c r="B7" i="5"/>
  <c r="B8" i="5" s="1"/>
  <c r="M6" i="5"/>
  <c r="E7" i="4"/>
  <c r="E6" i="4" s="1"/>
  <c r="M7" i="4"/>
  <c r="M6" i="4" s="1"/>
  <c r="B7" i="4"/>
  <c r="B8" i="4" s="1"/>
  <c r="G40" i="4" s="1"/>
  <c r="N82" i="5" l="1"/>
  <c r="D7" i="11" s="1"/>
  <c r="Q68" i="4"/>
  <c r="Q69" i="4"/>
  <c r="K53" i="4"/>
  <c r="P40" i="4"/>
  <c r="M9" i="4" s="1"/>
  <c r="M8" i="4" s="1"/>
  <c r="P31" i="4"/>
  <c r="P22" i="4"/>
  <c r="G29" i="5"/>
  <c r="G45" i="5"/>
  <c r="G61" i="5"/>
  <c r="N81" i="5"/>
  <c r="P33" i="5"/>
  <c r="P73" i="5"/>
  <c r="P53" i="5"/>
  <c r="O8" i="5"/>
  <c r="O10" i="5"/>
  <c r="O11" i="5"/>
  <c r="G7" i="5"/>
  <c r="G11" i="5" s="1"/>
  <c r="G31" i="4"/>
  <c r="G22" i="4"/>
  <c r="E9" i="4" l="1"/>
  <c r="E8" i="4" s="1"/>
  <c r="E9" i="5"/>
  <c r="E8" i="5" s="1"/>
  <c r="M9" i="5"/>
  <c r="M8" i="5" s="1"/>
  <c r="G8" i="5"/>
  <c r="G9" i="5"/>
  <c r="G10" i="5"/>
</calcChain>
</file>

<file path=xl/sharedStrings.xml><?xml version="1.0" encoding="utf-8"?>
<sst xmlns="http://schemas.openxmlformats.org/spreadsheetml/2006/main" count="3510" uniqueCount="375">
  <si>
    <r>
      <t>y</t>
    </r>
    <r>
      <rPr>
        <b/>
        <i/>
        <vertAlign val="subscript"/>
        <sz val="11"/>
        <color theme="1"/>
        <rFont val="Calibri"/>
        <family val="2"/>
        <scheme val="minor"/>
      </rPr>
      <t>avg</t>
    </r>
    <r>
      <rPr>
        <b/>
        <i/>
        <sz val="11"/>
        <color theme="1"/>
        <rFont val="Calibri"/>
        <family val="2"/>
        <scheme val="minor"/>
      </rPr>
      <t xml:space="preserve"> (in)</t>
    </r>
  </si>
  <si>
    <r>
      <t>g (m/s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</si>
  <si>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b (m)</t>
  </si>
  <si>
    <t>Q (cms)</t>
  </si>
  <si>
    <t>X</t>
  </si>
  <si>
    <r>
      <t>S</t>
    </r>
    <r>
      <rPr>
        <b/>
        <i/>
        <vertAlign val="subscript"/>
        <sz val="11"/>
        <color theme="1"/>
        <rFont val="Calibri"/>
        <family val="2"/>
        <scheme val="minor"/>
      </rPr>
      <t>o</t>
    </r>
    <r>
      <rPr>
        <b/>
        <i/>
        <sz val="11"/>
        <color theme="1"/>
        <rFont val="Calibri"/>
        <family val="2"/>
        <scheme val="minor"/>
      </rPr>
      <t xml:space="preserve"> (ft/ft)</t>
    </r>
  </si>
  <si>
    <r>
      <t>k</t>
    </r>
    <r>
      <rPr>
        <b/>
        <i/>
        <vertAlign val="subscript"/>
        <sz val="11"/>
        <color theme="1"/>
        <rFont val="Calibri"/>
        <family val="2"/>
        <scheme val="minor"/>
      </rPr>
      <t>m</t>
    </r>
    <r>
      <rPr>
        <b/>
        <i/>
        <sz val="11"/>
        <color theme="1"/>
        <rFont val="Calibri"/>
        <family val="2"/>
        <scheme val="minor"/>
      </rPr>
      <t xml:space="preserve"> (ft</t>
    </r>
    <r>
      <rPr>
        <b/>
        <i/>
        <vertAlign val="superscript"/>
        <sz val="11"/>
        <color theme="1"/>
        <rFont val="Calibri"/>
        <family val="2"/>
        <scheme val="minor"/>
      </rPr>
      <t>1/3</t>
    </r>
    <r>
      <rPr>
        <b/>
        <i/>
        <sz val="11"/>
        <color theme="1"/>
        <rFont val="Calibri"/>
        <family val="2"/>
        <scheme val="minor"/>
      </rPr>
      <t>/2)</t>
    </r>
  </si>
  <si>
    <t>CS#</t>
  </si>
  <si>
    <t>Depth (m)</t>
  </si>
  <si>
    <t>V (m/s)</t>
  </si>
  <si>
    <t>Station</t>
  </si>
  <si>
    <t>R</t>
  </si>
  <si>
    <t>M</t>
  </si>
  <si>
    <t>L</t>
  </si>
  <si>
    <t>Lead Edge</t>
  </si>
  <si>
    <t>ft</t>
  </si>
  <si>
    <t>3ft</t>
  </si>
  <si>
    <t>3.5ft</t>
  </si>
  <si>
    <t>4ft</t>
  </si>
  <si>
    <t>7ft</t>
  </si>
  <si>
    <t>8ft</t>
  </si>
  <si>
    <t xml:space="preserve">Weir Pos. </t>
  </si>
  <si>
    <t>UP</t>
  </si>
  <si>
    <t>b (ft)</t>
  </si>
  <si>
    <t>NO Patch</t>
  </si>
  <si>
    <r>
      <t>V</t>
    </r>
    <r>
      <rPr>
        <b/>
        <i/>
        <vertAlign val="subscript"/>
        <sz val="11"/>
        <color theme="1"/>
        <rFont val="Calibri"/>
        <family val="2"/>
        <scheme val="minor"/>
      </rPr>
      <t xml:space="preserve">avg </t>
    </r>
    <r>
      <rPr>
        <b/>
        <i/>
        <sz val="11"/>
        <color theme="1"/>
        <rFont val="Calibri"/>
        <family val="2"/>
        <scheme val="minor"/>
      </rPr>
      <t>(m/s)</t>
    </r>
  </si>
  <si>
    <r>
      <t>A</t>
    </r>
    <r>
      <rPr>
        <b/>
        <i/>
        <vertAlign val="subscript"/>
        <sz val="11"/>
        <color theme="1"/>
        <rFont val="Calibri"/>
        <family val="2"/>
        <scheme val="minor"/>
      </rPr>
      <t>CS</t>
    </r>
    <r>
      <rPr>
        <b/>
        <i/>
        <sz val="11"/>
        <color theme="1"/>
        <rFont val="Calibri"/>
        <family val="2"/>
        <scheme val="minor"/>
      </rPr>
      <t xml:space="preserve"> (ft</t>
    </r>
    <r>
      <rPr>
        <b/>
        <i/>
        <vertAlign val="super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>)</t>
    </r>
  </si>
  <si>
    <r>
      <t>y</t>
    </r>
    <r>
      <rPr>
        <b/>
        <i/>
        <vertAlign val="subscript"/>
        <sz val="11"/>
        <color theme="1"/>
        <rFont val="Calibri"/>
        <family val="2"/>
        <scheme val="minor"/>
      </rPr>
      <t>c</t>
    </r>
    <r>
      <rPr>
        <b/>
        <i/>
        <sz val="11"/>
        <color theme="1"/>
        <rFont val="Calibri"/>
        <family val="2"/>
        <scheme val="minor"/>
      </rPr>
      <t xml:space="preserve"> (in)</t>
    </r>
  </si>
  <si>
    <r>
      <t>Q</t>
    </r>
    <r>
      <rPr>
        <b/>
        <i/>
        <vertAlign val="subscript"/>
        <sz val="11"/>
        <color theme="1"/>
        <rFont val="Calibri"/>
        <family val="2"/>
        <scheme val="minor"/>
      </rPr>
      <t>yc</t>
    </r>
    <r>
      <rPr>
        <b/>
        <i/>
        <sz val="11"/>
        <color theme="1"/>
        <rFont val="Calibri"/>
        <family val="2"/>
        <scheme val="minor"/>
      </rPr>
      <t xml:space="preserve"> (cfs)</t>
    </r>
  </si>
  <si>
    <r>
      <t>Q</t>
    </r>
    <r>
      <rPr>
        <b/>
        <i/>
        <vertAlign val="subscript"/>
        <sz val="11"/>
        <color theme="1"/>
        <rFont val="Calibri"/>
        <family val="2"/>
        <scheme val="minor"/>
      </rPr>
      <t>yc</t>
    </r>
    <r>
      <rPr>
        <b/>
        <i/>
        <sz val="11"/>
        <color theme="1"/>
        <rFont val="Calibri"/>
        <family val="2"/>
        <scheme val="minor"/>
      </rPr>
      <t xml:space="preserve"> (cms)</t>
    </r>
  </si>
  <si>
    <t>---</t>
  </si>
  <si>
    <r>
      <t>45</t>
    </r>
    <r>
      <rPr>
        <sz val="11"/>
        <color theme="1"/>
        <rFont val="Calibri"/>
        <family val="2"/>
      </rPr>
      <t>°</t>
    </r>
  </si>
  <si>
    <t>2.5ft</t>
  </si>
  <si>
    <t>6" X  6" Patch</t>
  </si>
  <si>
    <r>
      <t>y</t>
    </r>
    <r>
      <rPr>
        <b/>
        <i/>
        <vertAlign val="subscript"/>
        <sz val="11"/>
        <color theme="1"/>
        <rFont val="Calibri"/>
        <family val="2"/>
        <scheme val="minor"/>
      </rPr>
      <t>1</t>
    </r>
    <r>
      <rPr>
        <b/>
        <i/>
        <sz val="11"/>
        <color theme="1"/>
        <rFont val="Calibri"/>
        <family val="2"/>
        <scheme val="minor"/>
      </rPr>
      <t xml:space="preserve"> (in)</t>
    </r>
  </si>
  <si>
    <r>
      <t>y</t>
    </r>
    <r>
      <rPr>
        <b/>
        <i/>
        <vertAlign val="sub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 xml:space="preserve"> (in)</t>
    </r>
  </si>
  <si>
    <r>
      <t>Q</t>
    </r>
    <r>
      <rPr>
        <b/>
        <i/>
        <vertAlign val="subscript"/>
        <sz val="11"/>
        <color theme="1"/>
        <rFont val="Calibri"/>
        <family val="2"/>
        <scheme val="minor"/>
      </rPr>
      <t>avg</t>
    </r>
    <r>
      <rPr>
        <b/>
        <i/>
        <sz val="11"/>
        <color theme="1"/>
        <rFont val="Calibri"/>
        <family val="2"/>
        <scheme val="minor"/>
      </rPr>
      <t xml:space="preserve"> (cms)</t>
    </r>
  </si>
  <si>
    <r>
      <t>Q</t>
    </r>
    <r>
      <rPr>
        <b/>
        <i/>
        <vertAlign val="subscript"/>
        <sz val="11"/>
        <color theme="1"/>
        <rFont val="Calibri"/>
        <family val="2"/>
        <scheme val="minor"/>
      </rPr>
      <t>avg</t>
    </r>
    <r>
      <rPr>
        <b/>
        <i/>
        <sz val="11"/>
        <color theme="1"/>
        <rFont val="Calibri"/>
        <family val="2"/>
        <scheme val="minor"/>
      </rPr>
      <t xml:space="preserve"> (cfs)</t>
    </r>
  </si>
  <si>
    <r>
      <t>V</t>
    </r>
    <r>
      <rPr>
        <b/>
        <i/>
        <vertAlign val="subscript"/>
        <sz val="11"/>
        <color theme="1"/>
        <rFont val="Calibri"/>
        <family val="2"/>
        <scheme val="minor"/>
      </rPr>
      <t xml:space="preserve">avg </t>
    </r>
    <r>
      <rPr>
        <b/>
        <i/>
        <sz val="11"/>
        <color theme="1"/>
        <rFont val="Calibri"/>
        <family val="2"/>
        <scheme val="minor"/>
      </rPr>
      <t>(ft/s)</t>
    </r>
  </si>
  <si>
    <t>UP.X</t>
  </si>
  <si>
    <t>Frontal Area</t>
  </si>
  <si>
    <r>
      <t>% A</t>
    </r>
    <r>
      <rPr>
        <b/>
        <i/>
        <vertAlign val="subscript"/>
        <sz val="11"/>
        <color theme="1"/>
        <rFont val="Calibri"/>
        <family val="2"/>
        <scheme val="minor"/>
      </rPr>
      <t>f</t>
    </r>
  </si>
  <si>
    <r>
      <t>A</t>
    </r>
    <r>
      <rPr>
        <b/>
        <i/>
        <vertAlign val="subscript"/>
        <sz val="11"/>
        <color theme="1"/>
        <rFont val="Calibri"/>
        <family val="2"/>
        <scheme val="minor"/>
      </rPr>
      <t>photo</t>
    </r>
    <r>
      <rPr>
        <b/>
        <i/>
        <sz val="11"/>
        <color theme="1"/>
        <rFont val="Calibri"/>
        <family val="2"/>
        <scheme val="minor"/>
      </rPr>
      <t xml:space="preserve"> (in</t>
    </r>
    <r>
      <rPr>
        <b/>
        <i/>
        <vertAlign val="super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>)</t>
    </r>
  </si>
  <si>
    <r>
      <t>A</t>
    </r>
    <r>
      <rPr>
        <b/>
        <i/>
        <vertAlign val="subscript"/>
        <sz val="11"/>
        <color theme="1"/>
        <rFont val="Calibri"/>
        <family val="2"/>
        <scheme val="minor"/>
      </rPr>
      <t>f</t>
    </r>
    <r>
      <rPr>
        <b/>
        <i/>
        <sz val="11"/>
        <color theme="1"/>
        <rFont val="Calibri"/>
        <family val="2"/>
        <scheme val="minor"/>
      </rPr>
      <t xml:space="preserve"> (ft</t>
    </r>
    <r>
      <rPr>
        <b/>
        <i/>
        <vertAlign val="super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>)</t>
    </r>
  </si>
  <si>
    <r>
      <t>A</t>
    </r>
    <r>
      <rPr>
        <b/>
        <i/>
        <vertAlign val="subscript"/>
        <sz val="11"/>
        <color theme="1"/>
        <rFont val="Calibri"/>
        <family val="2"/>
        <scheme val="minor"/>
      </rPr>
      <t xml:space="preserve">1 </t>
    </r>
    <r>
      <rPr>
        <b/>
        <i/>
        <sz val="11"/>
        <color theme="1"/>
        <rFont val="Calibri"/>
        <family val="2"/>
        <scheme val="minor"/>
      </rPr>
      <t>(ft</t>
    </r>
    <r>
      <rPr>
        <b/>
        <i/>
        <vertAlign val="super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>)</t>
    </r>
  </si>
  <si>
    <r>
      <t>A</t>
    </r>
    <r>
      <rPr>
        <b/>
        <i/>
        <vertAlign val="subscript"/>
        <sz val="11"/>
        <color theme="1"/>
        <rFont val="Calibri"/>
        <family val="2"/>
        <scheme val="minor"/>
      </rPr>
      <t xml:space="preserve">2 </t>
    </r>
    <r>
      <rPr>
        <b/>
        <i/>
        <sz val="11"/>
        <color theme="1"/>
        <rFont val="Calibri"/>
        <family val="2"/>
        <scheme val="minor"/>
      </rPr>
      <t>(ft</t>
    </r>
    <r>
      <rPr>
        <b/>
        <i/>
        <vertAlign val="super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>)</t>
    </r>
  </si>
  <si>
    <r>
      <t>U</t>
    </r>
    <r>
      <rPr>
        <b/>
        <i/>
        <vertAlign val="subscript"/>
        <sz val="11"/>
        <color theme="1"/>
        <rFont val="Calibri"/>
        <family val="2"/>
        <scheme val="minor"/>
      </rPr>
      <t>1.avg</t>
    </r>
    <r>
      <rPr>
        <b/>
        <i/>
        <sz val="11"/>
        <color theme="1"/>
        <rFont val="Calibri"/>
        <family val="2"/>
        <scheme val="minor"/>
      </rPr>
      <t xml:space="preserve"> (ft/s)</t>
    </r>
  </si>
  <si>
    <r>
      <t>U</t>
    </r>
    <r>
      <rPr>
        <b/>
        <i/>
        <vertAlign val="subscript"/>
        <sz val="11"/>
        <color theme="1"/>
        <rFont val="Calibri"/>
        <family val="2"/>
        <scheme val="minor"/>
      </rPr>
      <t>2.avg</t>
    </r>
    <r>
      <rPr>
        <b/>
        <i/>
        <sz val="11"/>
        <color theme="1"/>
        <rFont val="Calibri"/>
        <family val="2"/>
        <scheme val="minor"/>
      </rPr>
      <t xml:space="preserve"> (ft/s)</t>
    </r>
  </si>
  <si>
    <r>
      <t>U</t>
    </r>
    <r>
      <rPr>
        <b/>
        <i/>
        <vertAlign val="subscript"/>
        <sz val="11"/>
        <color theme="1"/>
        <rFont val="Calibri"/>
        <family val="2"/>
        <scheme val="minor"/>
      </rPr>
      <t>AP.avg</t>
    </r>
    <r>
      <rPr>
        <b/>
        <i/>
        <sz val="11"/>
        <color theme="1"/>
        <rFont val="Calibri"/>
        <family val="2"/>
        <scheme val="minor"/>
      </rPr>
      <t xml:space="preserve"> (ft/s)</t>
    </r>
  </si>
  <si>
    <t>Drag Coefficient Calculations</t>
  </si>
  <si>
    <t>Frontal Area Calculations</t>
  </si>
  <si>
    <r>
      <t>C</t>
    </r>
    <r>
      <rPr>
        <b/>
        <i/>
        <vertAlign val="subscript"/>
        <sz val="11"/>
        <color theme="1"/>
        <rFont val="Calibri"/>
        <family val="2"/>
        <scheme val="minor"/>
      </rPr>
      <t>D</t>
    </r>
    <r>
      <rPr>
        <b/>
        <i/>
        <sz val="11"/>
        <color theme="1"/>
        <rFont val="Calibri"/>
        <family val="2"/>
        <scheme val="minor"/>
      </rPr>
      <t xml:space="preserve"> </t>
    </r>
  </si>
  <si>
    <t>8.5ft</t>
  </si>
  <si>
    <t>A</t>
  </si>
  <si>
    <t>B</t>
  </si>
  <si>
    <t>C</t>
  </si>
  <si>
    <t>D</t>
  </si>
  <si>
    <t>Manning's n Calculations</t>
  </si>
  <si>
    <r>
      <t>R</t>
    </r>
    <r>
      <rPr>
        <b/>
        <i/>
        <vertAlign val="subscript"/>
        <sz val="11"/>
        <color theme="1"/>
        <rFont val="Calibri"/>
        <family val="2"/>
        <scheme val="minor"/>
      </rPr>
      <t>h</t>
    </r>
    <r>
      <rPr>
        <b/>
        <i/>
        <sz val="11"/>
        <color theme="1"/>
        <rFont val="Calibri"/>
        <family val="2"/>
        <scheme val="minor"/>
      </rPr>
      <t xml:space="preserve"> (ft)</t>
    </r>
  </si>
  <si>
    <t xml:space="preserve">n </t>
  </si>
  <si>
    <t>No Patch</t>
  </si>
  <si>
    <t>5ft</t>
  </si>
  <si>
    <t>9" X  9" Patch</t>
  </si>
  <si>
    <t>12" X  12" Patch</t>
  </si>
  <si>
    <t>Depth (in)</t>
  </si>
  <si>
    <t>V (ft/s)</t>
  </si>
  <si>
    <t>d2</t>
  </si>
  <si>
    <r>
      <t>Q</t>
    </r>
    <r>
      <rPr>
        <b/>
        <i/>
        <vertAlign val="subscript"/>
        <sz val="11"/>
        <color theme="1"/>
        <rFont val="Calibri"/>
        <family val="2"/>
        <scheme val="minor"/>
      </rPr>
      <t>avg</t>
    </r>
    <r>
      <rPr>
        <b/>
        <i/>
        <sz val="11"/>
        <color theme="1"/>
        <rFont val="Calibri"/>
        <family val="2"/>
        <scheme val="minor"/>
      </rPr>
      <t>(cms)</t>
    </r>
  </si>
  <si>
    <r>
      <t>Q</t>
    </r>
    <r>
      <rPr>
        <b/>
        <i/>
        <vertAlign val="subscript"/>
        <sz val="11"/>
        <color theme="1"/>
        <rFont val="Calibri"/>
        <family val="2"/>
        <scheme val="minor"/>
      </rPr>
      <t>avg</t>
    </r>
    <r>
      <rPr>
        <b/>
        <i/>
        <sz val="11"/>
        <color theme="1"/>
        <rFont val="Calibri"/>
        <family val="2"/>
        <scheme val="minor"/>
      </rPr>
      <t>(cfs)</t>
    </r>
  </si>
  <si>
    <t>**From ADV data</t>
  </si>
  <si>
    <t>CS1</t>
  </si>
  <si>
    <t>CS2</t>
  </si>
  <si>
    <t>V (cm/s)</t>
  </si>
  <si>
    <r>
      <t>V</t>
    </r>
    <r>
      <rPr>
        <b/>
        <i/>
        <vertAlign val="super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 xml:space="preserve"> (m/s)</t>
    </r>
    <r>
      <rPr>
        <b/>
        <i/>
        <vertAlign val="superscript"/>
        <sz val="11"/>
        <color theme="1"/>
        <rFont val="Calibri"/>
        <family val="2"/>
        <scheme val="minor"/>
      </rPr>
      <t>2</t>
    </r>
  </si>
  <si>
    <t>**Computed w/ avg. velocities</t>
  </si>
  <si>
    <t>**Using C.S. @ 8.5 ft as D.S. C.S.</t>
  </si>
  <si>
    <t>**Using C.S. @ 7 ft as D.S. C.S.</t>
  </si>
  <si>
    <t>**Neglecting bed shear losses</t>
  </si>
  <si>
    <t>yavg</t>
  </si>
  <si>
    <r>
      <t>C</t>
    </r>
    <r>
      <rPr>
        <vertAlign val="subscript"/>
        <sz val="11"/>
        <color theme="1"/>
        <rFont val="Calibri"/>
        <family val="2"/>
        <scheme val="minor"/>
      </rPr>
      <t>D</t>
    </r>
  </si>
  <si>
    <r>
      <t xml:space="preserve">Depth </t>
    </r>
    <r>
      <rPr>
        <sz val="11"/>
        <color theme="1"/>
        <rFont val="Calibri"/>
        <family val="2"/>
      </rPr>
      <t>≈ 6 in</t>
    </r>
  </si>
  <si>
    <t>6 x 6"</t>
  </si>
  <si>
    <t>9 x 6"</t>
  </si>
  <si>
    <t>12 x 6"</t>
  </si>
  <si>
    <r>
      <t xml:space="preserve">Depth </t>
    </r>
    <r>
      <rPr>
        <sz val="11"/>
        <color theme="1"/>
        <rFont val="Calibri"/>
        <family val="2"/>
      </rPr>
      <t>≈ 8.5 in</t>
    </r>
  </si>
  <si>
    <r>
      <t xml:space="preserve">Depth </t>
    </r>
    <r>
      <rPr>
        <sz val="11"/>
        <color theme="1"/>
        <rFont val="Calibri"/>
        <family val="2"/>
      </rPr>
      <t>≈ 14 in</t>
    </r>
  </si>
  <si>
    <t>**For plotting</t>
  </si>
  <si>
    <t>**8.5 ft D.S.cross section for all patches</t>
  </si>
  <si>
    <t>** 7 ft D.S. cross section for 9x6" and 12x6" patches</t>
  </si>
  <si>
    <t>***SAME RUN ADV DATA***</t>
  </si>
  <si>
    <t>File</t>
  </si>
  <si>
    <t>Sample Rate</t>
  </si>
  <si>
    <t>Velocity Range</t>
  </si>
  <si>
    <t>Distance Downstream</t>
  </si>
  <si>
    <t>Distance Across Stream</t>
  </si>
  <si>
    <t>Boundary Distance</t>
  </si>
  <si>
    <t>Avg Vx</t>
  </si>
  <si>
    <t>20150804_blue_1_0001</t>
  </si>
  <si>
    <t>30 cm/s</t>
  </si>
  <si>
    <t>20150804_blue_1_0002</t>
  </si>
  <si>
    <t>20150804_blue_1_0003</t>
  </si>
  <si>
    <t>20150804_blue_1_0004</t>
  </si>
  <si>
    <t>20150804_blue_1_0005</t>
  </si>
  <si>
    <t>20150804_blue_1_0006</t>
  </si>
  <si>
    <t>20150804_blue_1_0007</t>
  </si>
  <si>
    <t>20150804_blue_1_0008</t>
  </si>
  <si>
    <t>20150804_blue_2_0001</t>
  </si>
  <si>
    <t>20150804_blue_2_0002</t>
  </si>
  <si>
    <t>20150804_blue_2_0003</t>
  </si>
  <si>
    <t>20150804_blue_2_0004</t>
  </si>
  <si>
    <t>20150804_blue_2_0005</t>
  </si>
  <si>
    <t>20150804_blue_2_0006</t>
  </si>
  <si>
    <t>20150804_blue_2_0007</t>
  </si>
  <si>
    <t>20150804_blue_2_0008</t>
  </si>
  <si>
    <t>20150804_blue_3_0001</t>
  </si>
  <si>
    <t>20150804_blue_3_0002</t>
  </si>
  <si>
    <t>20150804_blue_3_0003</t>
  </si>
  <si>
    <t>20150804_blue_3_0004</t>
  </si>
  <si>
    <t>20150804_blue_3_0005</t>
  </si>
  <si>
    <t>20150804_blue_3_0006</t>
  </si>
  <si>
    <t>20150804_blue_3_0007</t>
  </si>
  <si>
    <t>20150804_blue_3_0008</t>
  </si>
  <si>
    <t>20150804_blue_4_0001</t>
  </si>
  <si>
    <t>20150804_blue_4_0002</t>
  </si>
  <si>
    <t>20150804_blue_4_0003</t>
  </si>
  <si>
    <t>20150804_blue_4_0004</t>
  </si>
  <si>
    <t>20150804_blue_4_0005</t>
  </si>
  <si>
    <t>20150804_blue_4_0006</t>
  </si>
  <si>
    <t>20150804_blue_4_0007</t>
  </si>
  <si>
    <t>20150804_blue_4_0008</t>
  </si>
  <si>
    <t>20150804_blue_5_0001</t>
  </si>
  <si>
    <t>20150804_blue_5_0002</t>
  </si>
  <si>
    <t>20150804_blue_5_0003</t>
  </si>
  <si>
    <t>20150804_blue_5_0004</t>
  </si>
  <si>
    <t>20150804_blue_5_0005</t>
  </si>
  <si>
    <t>20150804_blue_5_0006</t>
  </si>
  <si>
    <t>20150804_blue_5_0007</t>
  </si>
  <si>
    <t>20150804_blue_5_0008</t>
  </si>
  <si>
    <t>20150804_white_1_0001</t>
  </si>
  <si>
    <t>20150804_white_1_0002</t>
  </si>
  <si>
    <t>20150804_white_1_0003</t>
  </si>
  <si>
    <t>20150804_white_1_0004</t>
  </si>
  <si>
    <t>20150804_white_1_0005</t>
  </si>
  <si>
    <t>20150804_white_1_0006</t>
  </si>
  <si>
    <t>20150804_white_1_0007</t>
  </si>
  <si>
    <t>20150804_white_1_0008</t>
  </si>
  <si>
    <t>20150804_yellow_1_0001</t>
  </si>
  <si>
    <t>20150804_yellow_1_0002</t>
  </si>
  <si>
    <t>20150804_yellow_1_0003</t>
  </si>
  <si>
    <t>20150804_yellow_1_0004</t>
  </si>
  <si>
    <t>20150804_yellow_1_0005</t>
  </si>
  <si>
    <t>20150804_yellow_1_0006</t>
  </si>
  <si>
    <t>20150804_yellow_1_0007</t>
  </si>
  <si>
    <t>20150804_yellow_1_0008</t>
  </si>
  <si>
    <t>20150805_white_2_0001</t>
  </si>
  <si>
    <t>20150805_white_2_0002</t>
  </si>
  <si>
    <t>20150805_white_2_0003</t>
  </si>
  <si>
    <t>20150805_white_2_0004</t>
  </si>
  <si>
    <t>20150805_white_2_0005</t>
  </si>
  <si>
    <t>20150805_white_2_0006</t>
  </si>
  <si>
    <t>20150805_white_2_0007</t>
  </si>
  <si>
    <t>20150805_white_2_0008</t>
  </si>
  <si>
    <t>20150805_white_3_0001</t>
  </si>
  <si>
    <t>20150805_white_3_0002</t>
  </si>
  <si>
    <t>20150805_white_3_0003</t>
  </si>
  <si>
    <t>20150805_white_3_0004</t>
  </si>
  <si>
    <t>20150805_white_3_0005</t>
  </si>
  <si>
    <t>20150805_white_3_0006</t>
  </si>
  <si>
    <t>20150805_white_3_0007</t>
  </si>
  <si>
    <t>20150805_white_3_0008</t>
  </si>
  <si>
    <t>20150805_white_4_0001</t>
  </si>
  <si>
    <t>20150805_white_4_0002</t>
  </si>
  <si>
    <t>20150805_white_4_0003</t>
  </si>
  <si>
    <t>20150805_white_4_0004</t>
  </si>
  <si>
    <t>20150805_white_4_0005</t>
  </si>
  <si>
    <t>20150805_white_4_0006</t>
  </si>
  <si>
    <t>20150805_white_4_0007</t>
  </si>
  <si>
    <t>20150805_white_4_0008</t>
  </si>
  <si>
    <t>20150805_white_5_0001</t>
  </si>
  <si>
    <t>20150805_white_5_0002</t>
  </si>
  <si>
    <t>20150805_white_5_0003</t>
  </si>
  <si>
    <t>20150805_white_5_0004</t>
  </si>
  <si>
    <t>20150805_white_5_0005</t>
  </si>
  <si>
    <t>20150805_white_5_0006</t>
  </si>
  <si>
    <t>20150805_white_5_0007</t>
  </si>
  <si>
    <t>20150805_white_5_0008</t>
  </si>
  <si>
    <t>20150805_yellow_2_0001</t>
  </si>
  <si>
    <t>20150805_yellow_2_0002</t>
  </si>
  <si>
    <t>20150805_yellow_2_0003</t>
  </si>
  <si>
    <t>20150805_yellow_2_0004</t>
  </si>
  <si>
    <t>20150805_yellow_2_0005</t>
  </si>
  <si>
    <t>20150805_yellow_2_0006</t>
  </si>
  <si>
    <t>20150805_yellow_2_0007</t>
  </si>
  <si>
    <t>20150805_yellow_2_0008</t>
  </si>
  <si>
    <t>20150805_yellow_3_0001</t>
  </si>
  <si>
    <t>20150805_yellow_3_0002</t>
  </si>
  <si>
    <t>20150805_yellow_3_0003</t>
  </si>
  <si>
    <t>20150805_yellow_3_0004</t>
  </si>
  <si>
    <t>20150805_yellow_3_0005</t>
  </si>
  <si>
    <t>20150805_yellow_3_0006</t>
  </si>
  <si>
    <t>20150805_yellow_3_0007</t>
  </si>
  <si>
    <t>20150805_yellow_3_0008</t>
  </si>
  <si>
    <t>20150805_yellow_4_0001</t>
  </si>
  <si>
    <t>20150805_yellow_4_0002</t>
  </si>
  <si>
    <t>20150805_yellow_4_0003</t>
  </si>
  <si>
    <t>20150805_yellow_4_0004</t>
  </si>
  <si>
    <t>20150805_yellow_4_0005</t>
  </si>
  <si>
    <t>20150805_yellow_4_0006</t>
  </si>
  <si>
    <t>20150805_yellow_4_0007</t>
  </si>
  <si>
    <t>20150805_yellow_4_0008</t>
  </si>
  <si>
    <t>20150805_yellow_5_0001</t>
  </si>
  <si>
    <t>20150805_yellow_5_0002</t>
  </si>
  <si>
    <t>20150805_yellow_5_0003</t>
  </si>
  <si>
    <t>20150805_yellow_5_0004</t>
  </si>
  <si>
    <t>20150805_yellow_5_0005</t>
  </si>
  <si>
    <t>20150805_yellow_5_0006</t>
  </si>
  <si>
    <t>20150805_yellow_5_0007</t>
  </si>
  <si>
    <t>20150805_yellow_5_0008</t>
  </si>
  <si>
    <t>**Computed w/ avg. velocities from HACH data</t>
  </si>
  <si>
    <t>D.S. dist (ft)</t>
  </si>
  <si>
    <t>**Using avg. ADV velocities for U.S. &amp; D.S. CS's (still using HACH data for approach velocity)</t>
  </si>
  <si>
    <t>**Using discretized ADV data for U.S. &amp; D.S. CS's (still using HACH data for approach velocity)</t>
  </si>
  <si>
    <r>
      <t>V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</si>
  <si>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U.S. SUM</t>
  </si>
  <si>
    <t>8.5 D.S. SUM</t>
  </si>
  <si>
    <t>8.5 ft D.S. C.S.</t>
  </si>
  <si>
    <t>7.5 D.S. SUM</t>
  </si>
  <si>
    <t>7.5 ft D.S. C.S.</t>
  </si>
  <si>
    <t>4 ft U.S. C.S.</t>
  </si>
  <si>
    <t>HACH (8.5-ft C.S.)</t>
  </si>
  <si>
    <t>ADV (7.5-ft C.S.)</t>
  </si>
  <si>
    <t>ADV (8.5-ft C.S.)</t>
  </si>
  <si>
    <t>**Calc. Depths</t>
  </si>
  <si>
    <r>
      <t>y</t>
    </r>
    <r>
      <rPr>
        <b/>
        <i/>
        <vertAlign val="subscript"/>
        <sz val="11"/>
        <color theme="1"/>
        <rFont val="Calibri"/>
        <family val="2"/>
        <scheme val="minor"/>
      </rPr>
      <t>w, p</t>
    </r>
    <r>
      <rPr>
        <b/>
        <i/>
        <sz val="11"/>
        <color theme="1"/>
        <rFont val="Calibri"/>
        <family val="2"/>
        <scheme val="minor"/>
      </rPr>
      <t xml:space="preserve"> (ft)</t>
    </r>
  </si>
  <si>
    <t>**Lookout Creek Stage Data</t>
  </si>
  <si>
    <r>
      <t>y</t>
    </r>
    <r>
      <rPr>
        <b/>
        <i/>
        <vertAlign val="subscript"/>
        <sz val="11"/>
        <color theme="1"/>
        <rFont val="Calibri"/>
        <family val="2"/>
        <scheme val="minor"/>
      </rPr>
      <t>w, m</t>
    </r>
    <r>
      <rPr>
        <b/>
        <i/>
        <sz val="11"/>
        <color theme="1"/>
        <rFont val="Calibri"/>
        <family val="2"/>
        <scheme val="minor"/>
      </rPr>
      <t xml:space="preserve"> (ft)</t>
    </r>
  </si>
  <si>
    <t>????Reasonable flume flow depths (1 in  - 8 in)</t>
  </si>
  <si>
    <r>
      <t>d</t>
    </r>
    <r>
      <rPr>
        <b/>
        <i/>
        <vertAlign val="subscript"/>
        <sz val="11"/>
        <color theme="1"/>
        <rFont val="Calibri"/>
        <family val="2"/>
        <scheme val="minor"/>
      </rPr>
      <t>stem, p</t>
    </r>
    <r>
      <rPr>
        <b/>
        <i/>
        <sz val="11"/>
        <color theme="1"/>
        <rFont val="Calibri"/>
        <family val="2"/>
        <scheme val="minor"/>
      </rPr>
      <t xml:space="preserve"> (cm)</t>
    </r>
  </si>
  <si>
    <t>**Avg. measured Stem diam (Lookout Creek Patch n=80)</t>
  </si>
  <si>
    <r>
      <t>d</t>
    </r>
    <r>
      <rPr>
        <b/>
        <i/>
        <vertAlign val="subscript"/>
        <sz val="11"/>
        <color theme="1"/>
        <rFont val="Calibri"/>
        <family val="2"/>
        <scheme val="minor"/>
      </rPr>
      <t>stem, m</t>
    </r>
    <r>
      <rPr>
        <b/>
        <i/>
        <sz val="11"/>
        <color theme="1"/>
        <rFont val="Calibri"/>
        <family val="2"/>
        <scheme val="minor"/>
      </rPr>
      <t xml:space="preserve"> (cm) LOW</t>
    </r>
  </si>
  <si>
    <t xml:space="preserve">**Assumed smallest diam. Material avail. </t>
  </si>
  <si>
    <r>
      <t>d</t>
    </r>
    <r>
      <rPr>
        <b/>
        <i/>
        <vertAlign val="subscript"/>
        <sz val="11"/>
        <color theme="1"/>
        <rFont val="Calibri"/>
        <family val="2"/>
        <scheme val="minor"/>
      </rPr>
      <t>stem, m</t>
    </r>
    <r>
      <rPr>
        <b/>
        <i/>
        <sz val="11"/>
        <color theme="1"/>
        <rFont val="Calibri"/>
        <family val="2"/>
        <scheme val="minor"/>
      </rPr>
      <t xml:space="preserve"> (cm) HIGH</t>
    </r>
  </si>
  <si>
    <r>
      <t>h</t>
    </r>
    <r>
      <rPr>
        <b/>
        <i/>
        <vertAlign val="subscript"/>
        <sz val="11"/>
        <color theme="1"/>
        <rFont val="Calibri"/>
        <family val="2"/>
        <scheme val="minor"/>
      </rPr>
      <t>p</t>
    </r>
    <r>
      <rPr>
        <b/>
        <i/>
        <sz val="11"/>
        <color theme="1"/>
        <rFont val="Calibri"/>
        <family val="2"/>
        <scheme val="minor"/>
      </rPr>
      <t xml:space="preserve"> (cm)</t>
    </r>
  </si>
  <si>
    <t>**Avg. measured Stem Height (Lookout Creek Patch n=80)</t>
  </si>
  <si>
    <r>
      <t>h</t>
    </r>
    <r>
      <rPr>
        <b/>
        <i/>
        <vertAlign val="subscript"/>
        <sz val="11"/>
        <color theme="1"/>
        <rFont val="Calibri"/>
        <family val="2"/>
        <scheme val="minor"/>
      </rPr>
      <t>m</t>
    </r>
    <r>
      <rPr>
        <b/>
        <i/>
        <sz val="11"/>
        <color theme="1"/>
        <rFont val="Calibri"/>
        <family val="2"/>
        <scheme val="minor"/>
      </rPr>
      <t xml:space="preserve"> (cm)</t>
    </r>
  </si>
  <si>
    <t>&lt;43.5</t>
  </si>
  <si>
    <t>???Veg heights that will fit in flume</t>
  </si>
  <si>
    <t>E (Gpa)</t>
  </si>
  <si>
    <r>
      <t>J</t>
    </r>
    <r>
      <rPr>
        <b/>
        <i/>
        <vertAlign val="subscript"/>
        <sz val="11"/>
        <color theme="1"/>
        <rFont val="Calibri"/>
        <family val="2"/>
        <scheme val="minor"/>
      </rPr>
      <t>p, avg</t>
    </r>
    <r>
      <rPr>
        <b/>
        <i/>
        <sz val="11"/>
        <color theme="1"/>
        <rFont val="Calibri"/>
        <family val="2"/>
        <scheme val="minor"/>
      </rPr>
      <t xml:space="preserve"> (Nm</t>
    </r>
    <r>
      <rPr>
        <b/>
        <i/>
        <vertAlign val="super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>)</t>
    </r>
  </si>
  <si>
    <t>**Avg. measured Flexural Rigidity (Lookout Creek Patch n=60)</t>
  </si>
  <si>
    <r>
      <t>J (Nm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</si>
  <si>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E</t>
    </r>
    <r>
      <rPr>
        <b/>
        <i/>
        <vertAlign val="subscript"/>
        <sz val="11"/>
        <color theme="1"/>
        <rFont val="Calibri"/>
        <family val="2"/>
        <scheme val="minor"/>
      </rPr>
      <t>p, avg</t>
    </r>
    <r>
      <rPr>
        <b/>
        <i/>
        <sz val="11"/>
        <color theme="1"/>
        <rFont val="Calibri"/>
        <family val="2"/>
        <scheme val="minor"/>
      </rPr>
      <t xml:space="preserve"> (GPa)</t>
    </r>
  </si>
  <si>
    <t>F/w (N/m)</t>
  </si>
  <si>
    <t>H (m)</t>
  </si>
  <si>
    <t>Tested Materials</t>
  </si>
  <si>
    <t>Material</t>
  </si>
  <si>
    <r>
      <t>d</t>
    </r>
    <r>
      <rPr>
        <b/>
        <vertAlign val="subscript"/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 xml:space="preserve"> (cm)</t>
    </r>
  </si>
  <si>
    <t>x</t>
  </si>
  <si>
    <t>1/x</t>
  </si>
  <si>
    <t>L (cm)</t>
  </si>
  <si>
    <t>F (N)</t>
  </si>
  <si>
    <t>w (cm)</t>
  </si>
  <si>
    <t>F/W (N/m)</t>
  </si>
  <si>
    <r>
      <t>J</t>
    </r>
    <r>
      <rPr>
        <b/>
        <vertAlign val="subscript"/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 xml:space="preserve"> (Nm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</si>
  <si>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J</t>
    </r>
    <r>
      <rPr>
        <b/>
        <vertAlign val="subscript"/>
        <sz val="11"/>
        <color theme="1"/>
        <rFont val="Calibri"/>
        <family val="2"/>
        <scheme val="minor"/>
      </rPr>
      <t>m Req. Lo</t>
    </r>
    <r>
      <rPr>
        <b/>
        <sz val="11"/>
        <color theme="1"/>
        <rFont val="Calibri"/>
        <family val="2"/>
        <scheme val="minor"/>
      </rPr>
      <t xml:space="preserve"> (Nm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</si>
  <si>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J</t>
    </r>
    <r>
      <rPr>
        <b/>
        <vertAlign val="subscript"/>
        <sz val="11"/>
        <color theme="1"/>
        <rFont val="Calibri"/>
        <family val="2"/>
        <scheme val="minor"/>
      </rPr>
      <t>m Req. HI</t>
    </r>
    <r>
      <rPr>
        <b/>
        <sz val="11"/>
        <color theme="1"/>
        <rFont val="Calibri"/>
        <family val="2"/>
        <scheme val="minor"/>
      </rPr>
      <t xml:space="preserve"> (Nm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</si>
  <si>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 xml:space="preserve"> (Gpa)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</si>
  <si>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m Req. LO</t>
    </r>
    <r>
      <rPr>
        <b/>
        <sz val="11"/>
        <color theme="1"/>
        <rFont val="Calibri"/>
        <family val="2"/>
        <scheme val="minor"/>
      </rPr>
      <t xml:space="preserve"> (Gpa)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</si>
  <si>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m Req. HI</t>
    </r>
    <r>
      <rPr>
        <b/>
        <sz val="11"/>
        <color theme="1"/>
        <rFont val="Calibri"/>
        <family val="2"/>
        <scheme val="minor"/>
      </rPr>
      <t xml:space="preserve"> (Gpa)</t>
    </r>
  </si>
  <si>
    <t>2.ft5</t>
  </si>
  <si>
    <r>
      <t>F/W</t>
    </r>
    <r>
      <rPr>
        <b/>
        <vertAlign val="subscript"/>
        <sz val="11"/>
        <color theme="1"/>
        <rFont val="Calibri"/>
        <family val="2"/>
        <scheme val="minor"/>
      </rPr>
      <t>m Req. LO</t>
    </r>
    <r>
      <rPr>
        <b/>
        <sz val="11"/>
        <color theme="1"/>
        <rFont val="Calibri"/>
        <family val="2"/>
        <scheme val="minor"/>
      </rPr>
      <t xml:space="preserve"> (N/m)</t>
    </r>
  </si>
  <si>
    <r>
      <t>F/W</t>
    </r>
    <r>
      <rPr>
        <b/>
        <vertAlign val="subscript"/>
        <sz val="11"/>
        <color theme="1"/>
        <rFont val="Calibri"/>
        <family val="2"/>
        <scheme val="minor"/>
      </rPr>
      <t>m Req. HI</t>
    </r>
    <r>
      <rPr>
        <b/>
        <sz val="11"/>
        <color theme="1"/>
        <rFont val="Calibri"/>
        <family val="2"/>
        <scheme val="minor"/>
      </rPr>
      <t xml:space="preserve"> (N/m)</t>
    </r>
  </si>
  <si>
    <r>
      <t>H</t>
    </r>
    <r>
      <rPr>
        <b/>
        <vertAlign val="subscript"/>
        <sz val="11"/>
        <color theme="1"/>
        <rFont val="Calibri (Body)"/>
      </rPr>
      <t>m,low</t>
    </r>
    <r>
      <rPr>
        <b/>
        <sz val="11"/>
        <color theme="1"/>
        <rFont val="Calibri"/>
        <family val="2"/>
        <scheme val="minor"/>
      </rPr>
      <t xml:space="preserve"> (cm)</t>
    </r>
  </si>
  <si>
    <r>
      <t>H</t>
    </r>
    <r>
      <rPr>
        <b/>
        <vertAlign val="subscript"/>
        <sz val="11"/>
        <color theme="1"/>
        <rFont val="Calibri (Body)"/>
      </rPr>
      <t>m,high</t>
    </r>
    <r>
      <rPr>
        <b/>
        <sz val="11"/>
        <color theme="1"/>
        <rFont val="Calibri"/>
        <family val="2"/>
        <scheme val="minor"/>
      </rPr>
      <t xml:space="preserve"> (cm)</t>
    </r>
  </si>
  <si>
    <r>
      <t>H</t>
    </r>
    <r>
      <rPr>
        <b/>
        <vertAlign val="subscript"/>
        <sz val="11"/>
        <color rgb="FF000000"/>
        <rFont val="Calibri (Body)"/>
      </rPr>
      <t>m Req. LO</t>
    </r>
    <r>
      <rPr>
        <b/>
        <sz val="11"/>
        <color rgb="FF000000"/>
        <rFont val="Calibri"/>
        <family val="2"/>
        <scheme val="minor"/>
      </rPr>
      <t xml:space="preserve"> (cm)</t>
    </r>
  </si>
  <si>
    <r>
      <t>H</t>
    </r>
    <r>
      <rPr>
        <b/>
        <vertAlign val="subscript"/>
        <sz val="11"/>
        <color rgb="FF000000"/>
        <rFont val="Calibri (Body)"/>
      </rPr>
      <t>m Req. HI</t>
    </r>
    <r>
      <rPr>
        <b/>
        <sz val="11"/>
        <color rgb="FF000000"/>
        <rFont val="Calibri"/>
        <family val="2"/>
        <scheme val="minor"/>
      </rPr>
      <t xml:space="preserve"> (cm)</t>
    </r>
  </si>
  <si>
    <t>PTFE</t>
  </si>
  <si>
    <t>NY6</t>
  </si>
  <si>
    <t>NY 66</t>
  </si>
  <si>
    <t>EVA tube</t>
  </si>
  <si>
    <t>Acrylic Rod (extruded)</t>
  </si>
  <si>
    <t>HmDep Blck</t>
  </si>
  <si>
    <t>HmDep Grey</t>
  </si>
  <si>
    <t>HmDep Red</t>
  </si>
  <si>
    <t>Wilco blu1</t>
  </si>
  <si>
    <t>Wilco blu2</t>
  </si>
  <si>
    <t>Wilco blk1</t>
  </si>
  <si>
    <t>Wilco blk2</t>
  </si>
  <si>
    <t>Wilco grey</t>
  </si>
  <si>
    <t>Bamb1</t>
  </si>
  <si>
    <t>Bamb2</t>
  </si>
  <si>
    <t>Bamb3</t>
  </si>
  <si>
    <t>Bamb4</t>
  </si>
  <si>
    <t>FlumPlnt1</t>
  </si>
  <si>
    <t>FlumPlnt2</t>
  </si>
  <si>
    <t>WireGrn</t>
  </si>
  <si>
    <t>Wiresilv</t>
  </si>
  <si>
    <t>wood doll</t>
  </si>
  <si>
    <t>flag</t>
  </si>
  <si>
    <t>michplnt</t>
  </si>
  <si>
    <t>Wst grss1</t>
  </si>
  <si>
    <t>Wst grss2</t>
  </si>
  <si>
    <t>Wst grss3</t>
  </si>
  <si>
    <t>Wst grss4</t>
  </si>
  <si>
    <t>Wst grss5 cut</t>
  </si>
  <si>
    <t>N. Sea Oats 1</t>
  </si>
  <si>
    <t>N. Sea Oats 2</t>
  </si>
  <si>
    <t>Overdam Poaceae 1</t>
  </si>
  <si>
    <t>Overdam Poaceae 2</t>
  </si>
  <si>
    <t>Shehandoah Poaceae 1</t>
  </si>
  <si>
    <t>Shehandoah Poaceae 2</t>
  </si>
  <si>
    <t>unkn plnt 1</t>
  </si>
  <si>
    <t>unkn plnt 2</t>
  </si>
  <si>
    <t>Penn</t>
  </si>
  <si>
    <t>Blonde Ambition 1</t>
  </si>
  <si>
    <t>Blonde Ambition 2</t>
  </si>
  <si>
    <t>Fountain grss</t>
  </si>
  <si>
    <t>Karley Rose grss</t>
  </si>
  <si>
    <t>Shenandoah grss</t>
  </si>
  <si>
    <t>Ruby</t>
  </si>
  <si>
    <t>Merryfield Flume Data</t>
  </si>
  <si>
    <r>
      <t>y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(m)</t>
    </r>
  </si>
  <si>
    <t>**Maximum flume depth</t>
  </si>
  <si>
    <t>**Flume width</t>
  </si>
  <si>
    <t>**Geometric scaling factor</t>
  </si>
  <si>
    <t>Model</t>
  </si>
  <si>
    <t>Prototype</t>
  </si>
  <si>
    <r>
      <t>y</t>
    </r>
    <r>
      <rPr>
        <b/>
        <i/>
        <vertAlign val="subscript"/>
        <sz val="11"/>
        <color theme="1"/>
        <rFont val="Calibri"/>
        <family val="2"/>
        <scheme val="minor"/>
      </rPr>
      <t>c</t>
    </r>
    <r>
      <rPr>
        <b/>
        <i/>
        <sz val="11"/>
        <color theme="1"/>
        <rFont val="Calibri"/>
        <family val="2"/>
        <scheme val="minor"/>
      </rPr>
      <t xml:space="preserve"> (m)</t>
    </r>
  </si>
  <si>
    <r>
      <t>Q</t>
    </r>
    <r>
      <rPr>
        <b/>
        <i/>
        <vertAlign val="subscript"/>
        <sz val="11"/>
        <color theme="1"/>
        <rFont val="Calibri"/>
        <family val="2"/>
        <scheme val="minor"/>
      </rPr>
      <t>m</t>
    </r>
    <r>
      <rPr>
        <b/>
        <i/>
        <sz val="11"/>
        <color theme="1"/>
        <rFont val="Calibri"/>
        <family val="2"/>
        <scheme val="minor"/>
      </rPr>
      <t xml:space="preserve"> (cms)</t>
    </r>
  </si>
  <si>
    <r>
      <t>Q</t>
    </r>
    <r>
      <rPr>
        <b/>
        <i/>
        <vertAlign val="subscript"/>
        <sz val="11"/>
        <color theme="1"/>
        <rFont val="Calibri"/>
        <family val="2"/>
        <scheme val="minor"/>
      </rPr>
      <t>m</t>
    </r>
    <r>
      <rPr>
        <b/>
        <i/>
        <sz val="11"/>
        <color theme="1"/>
        <rFont val="Calibri"/>
        <family val="2"/>
        <scheme val="minor"/>
      </rPr>
      <t xml:space="preserve"> (cfs)</t>
    </r>
  </si>
  <si>
    <r>
      <t>Q</t>
    </r>
    <r>
      <rPr>
        <b/>
        <i/>
        <vertAlign val="subscript"/>
        <sz val="11"/>
        <color theme="1"/>
        <rFont val="Calibri"/>
        <family val="2"/>
        <scheme val="minor"/>
      </rPr>
      <t>p</t>
    </r>
    <r>
      <rPr>
        <b/>
        <i/>
        <sz val="11"/>
        <color theme="1"/>
        <rFont val="Calibri"/>
        <family val="2"/>
        <scheme val="minor"/>
      </rPr>
      <t xml:space="preserve"> (cms)</t>
    </r>
  </si>
  <si>
    <r>
      <t>Q</t>
    </r>
    <r>
      <rPr>
        <b/>
        <i/>
        <vertAlign val="subscript"/>
        <sz val="11"/>
        <color theme="1"/>
        <rFont val="Calibri"/>
        <family val="2"/>
        <scheme val="minor"/>
      </rPr>
      <t>p</t>
    </r>
    <r>
      <rPr>
        <b/>
        <i/>
        <sz val="11"/>
        <color theme="1"/>
        <rFont val="Calibri"/>
        <family val="2"/>
        <scheme val="minor"/>
      </rPr>
      <t xml:space="preserve"> (cfs)</t>
    </r>
  </si>
  <si>
    <t>Plant #</t>
  </si>
  <si>
    <t>h (in)</t>
  </si>
  <si>
    <r>
      <t>d</t>
    </r>
    <r>
      <rPr>
        <b/>
        <vertAlign val="subscript"/>
        <sz val="11"/>
        <color theme="1"/>
        <rFont val="Calibri"/>
        <family val="2"/>
        <scheme val="minor"/>
      </rPr>
      <t>20%</t>
    </r>
    <r>
      <rPr>
        <b/>
        <sz val="11"/>
        <color theme="1"/>
        <rFont val="Calibri"/>
        <family val="2"/>
        <scheme val="minor"/>
      </rPr>
      <t xml:space="preserve"> (mm)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</si>
  <si>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80%</t>
    </r>
    <r>
      <rPr>
        <b/>
        <sz val="11"/>
        <color theme="1"/>
        <rFont val="Calibri"/>
        <family val="2"/>
        <scheme val="minor"/>
      </rPr>
      <t xml:space="preserve"> (mm)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</si>
  <si>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avg.</t>
    </r>
    <r>
      <rPr>
        <b/>
        <sz val="11"/>
        <color theme="1"/>
        <rFont val="Calibri"/>
        <family val="2"/>
        <scheme val="minor"/>
      </rPr>
      <t xml:space="preserve"> (mm)</t>
    </r>
  </si>
  <si>
    <t>F meas. #</t>
  </si>
  <si>
    <r>
      <t>I (m</t>
    </r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)</t>
    </r>
  </si>
  <si>
    <r>
      <t>E (N/m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</si>
  <si>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Sensitivity F/w</t>
  </si>
  <si>
    <t>Sensitivity J</t>
  </si>
  <si>
    <t>Sensitivity E</t>
  </si>
  <si>
    <t>Scaler F</t>
  </si>
  <si>
    <r>
      <t>d</t>
    </r>
    <r>
      <rPr>
        <b/>
        <vertAlign val="subscript"/>
        <sz val="11"/>
        <color theme="1"/>
        <rFont val="Calibri"/>
        <family val="2"/>
        <scheme val="minor"/>
      </rPr>
      <t>avg</t>
    </r>
    <r>
      <rPr>
        <b/>
        <sz val="11"/>
        <color theme="1"/>
        <rFont val="Calibri"/>
        <family val="2"/>
        <scheme val="minor"/>
      </rPr>
      <t xml:space="preserve"> (mm)</t>
    </r>
  </si>
  <si>
    <r>
      <t>E</t>
    </r>
    <r>
      <rPr>
        <b/>
        <i/>
        <vertAlign val="subscript"/>
        <sz val="11"/>
        <color theme="1"/>
        <rFont val="Calibri"/>
        <family val="2"/>
        <scheme val="minor"/>
      </rPr>
      <t>avg</t>
    </r>
    <r>
      <rPr>
        <b/>
        <i/>
        <sz val="11"/>
        <color theme="1"/>
        <rFont val="Calibri"/>
        <family val="2"/>
        <scheme val="minor"/>
      </rPr>
      <t xml:space="preserve"> (N/m</t>
    </r>
    <r>
      <rPr>
        <b/>
        <i/>
        <vertAlign val="super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>)</t>
    </r>
  </si>
  <si>
    <r>
      <t>E</t>
    </r>
    <r>
      <rPr>
        <b/>
        <i/>
        <vertAlign val="subscript"/>
        <sz val="11"/>
        <color theme="1"/>
        <rFont val="Calibri"/>
        <family val="2"/>
        <scheme val="minor"/>
      </rPr>
      <t>avg</t>
    </r>
    <r>
      <rPr>
        <b/>
        <i/>
        <sz val="11"/>
        <color theme="1"/>
        <rFont val="Calibri"/>
        <family val="2"/>
        <scheme val="minor"/>
      </rPr>
      <t xml:space="preserve"> (Gpa)</t>
    </r>
  </si>
  <si>
    <t>sd(E)</t>
  </si>
  <si>
    <t>lcl</t>
  </si>
  <si>
    <t>ucl</t>
  </si>
  <si>
    <r>
      <t>J</t>
    </r>
    <r>
      <rPr>
        <b/>
        <i/>
        <vertAlign val="subscript"/>
        <sz val="11"/>
        <color theme="1"/>
        <rFont val="Calibri"/>
        <family val="2"/>
        <scheme val="minor"/>
      </rPr>
      <t>avg</t>
    </r>
    <r>
      <rPr>
        <b/>
        <i/>
        <sz val="11"/>
        <color theme="1"/>
        <rFont val="Calibri"/>
        <family val="2"/>
        <scheme val="minor"/>
      </rPr>
      <t xml:space="preserve"> (Nm</t>
    </r>
    <r>
      <rPr>
        <b/>
        <i/>
        <vertAlign val="super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>)</t>
    </r>
  </si>
  <si>
    <t>sd(J)</t>
  </si>
  <si>
    <r>
      <t>F/w</t>
    </r>
    <r>
      <rPr>
        <b/>
        <i/>
        <vertAlign val="subscript"/>
        <sz val="11"/>
        <color theme="1"/>
        <rFont val="Calibri"/>
        <family val="2"/>
        <scheme val="minor"/>
      </rPr>
      <t>avg</t>
    </r>
    <r>
      <rPr>
        <b/>
        <i/>
        <sz val="11"/>
        <color theme="1"/>
        <rFont val="Calibri"/>
        <family val="2"/>
        <scheme val="minor"/>
      </rPr>
      <t xml:space="preserve"> (N/m)</t>
    </r>
  </si>
  <si>
    <t>sd(F/w)</t>
  </si>
  <si>
    <t>Tops of Reed Canary Grass</t>
  </si>
  <si>
    <t>plot #</t>
  </si>
  <si>
    <t>num.  stems</t>
  </si>
  <si>
    <t>ht (in)</t>
  </si>
  <si>
    <t>ht (cm)</t>
  </si>
  <si>
    <r>
      <t>d</t>
    </r>
    <r>
      <rPr>
        <vertAlign val="subscript"/>
        <sz val="11"/>
        <color theme="1"/>
        <rFont val="Calibri"/>
        <family val="2"/>
        <scheme val="minor"/>
      </rPr>
      <t>20%</t>
    </r>
    <r>
      <rPr>
        <sz val="11"/>
        <color theme="1"/>
        <rFont val="Calibri"/>
        <family val="2"/>
        <scheme val="minor"/>
      </rPr>
      <t xml:space="preserve"> (cm)</t>
    </r>
  </si>
  <si>
    <r>
      <t>d</t>
    </r>
    <r>
      <rPr>
        <vertAlign val="subscript"/>
        <sz val="11"/>
        <color theme="1"/>
        <rFont val="Calibri"/>
        <family val="2"/>
        <scheme val="minor"/>
      </rPr>
      <t>80%</t>
    </r>
    <r>
      <rPr>
        <sz val="11"/>
        <color theme="1"/>
        <rFont val="Calibri"/>
        <family val="2"/>
        <scheme val="minor"/>
      </rPr>
      <t xml:space="preserve"> (cm)</t>
    </r>
  </si>
  <si>
    <r>
      <t>d</t>
    </r>
    <r>
      <rPr>
        <vertAlign val="subscript"/>
        <sz val="11"/>
        <color theme="1"/>
        <rFont val="Calibri"/>
        <family val="2"/>
        <scheme val="minor"/>
      </rPr>
      <t>avg</t>
    </r>
    <r>
      <rPr>
        <sz val="11"/>
        <color theme="1"/>
        <rFont val="Calibri"/>
        <family val="2"/>
        <scheme val="minor"/>
      </rPr>
      <t xml:space="preserve"> (cm)</t>
    </r>
  </si>
  <si>
    <t>blade width (cm)</t>
  </si>
  <si>
    <t>blade length (cm)</t>
  </si>
  <si>
    <t>num. blades</t>
  </si>
  <si>
    <t>Avg. davg (cm)</t>
  </si>
  <si>
    <t xml:space="preserve"> ht.avg (cm)</t>
  </si>
  <si>
    <t>RCG Measurements Obtained From Near Confluence of Lookout Creek &amp; Blue Reservoir (HJ Andrews Experimental Forest)</t>
  </si>
  <si>
    <t>Data Collected by Brian Draeger &amp; Nathan Sadowsky</t>
  </si>
  <si>
    <t>yellow cell= data replaced (was 0.4 -- suspected typo)</t>
  </si>
  <si>
    <t>RCG Material Property Estimates Obtained Through Force Deflection Tests</t>
  </si>
  <si>
    <t>Tests Conducted By Brian Draeger &amp; Nathan Sadowsky</t>
  </si>
  <si>
    <t>Material Property Estimates for Synthetic Materials &amp; Non-invasive Plant Species Obtained Through Force Deflection Tests</t>
  </si>
  <si>
    <t>Tests Conducted by Brian Draeger &amp; Nathan Sadowsky</t>
  </si>
  <si>
    <t>Data Collected By Brian Draeger in Merryfield Flume w/ HACH Velocimeter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</si>
</sst>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"/>
    <numFmt numFmtId="170" formatCode="0.0E+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 (Body)"/>
    </font>
    <font>
      <b/>
      <sz val="11"/>
      <color rgb="FF000000"/>
      <name val="Calibri"/>
      <family val="2"/>
      <scheme val="minor"/>
    </font>
    <font>
      <b/>
      <vertAlign val="subscript"/>
      <sz val="11"/>
      <color rgb="FF000000"/>
      <name val="Calibri (Body)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3" fillId="0" borderId="0" xfId="0" applyFont="1"/>
    <xf numFmtId="164" fontId="0" fillId="0" borderId="0" xfId="0" applyNumberFormat="1"/>
    <xf numFmtId="2" fontId="0" fillId="0" borderId="0" xfId="0" applyNumberFormat="1"/>
    <xf numFmtId="0" fontId="3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165" fontId="0" fillId="0" borderId="0" xfId="0" applyNumberFormat="1" applyBorder="1"/>
    <xf numFmtId="165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3" fillId="0" borderId="7" xfId="0" applyFont="1" applyBorder="1" applyAlignment="1">
      <alignment horizontal="right"/>
    </xf>
    <xf numFmtId="14" fontId="1" fillId="0" borderId="0" xfId="0" applyNumberFormat="1" applyFont="1"/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4" fontId="1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2" fontId="0" fillId="0" borderId="4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quotePrefix="1" applyFill="1" applyBorder="1" applyAlignment="1">
      <alignment horizontal="center"/>
    </xf>
    <xf numFmtId="0" fontId="0" fillId="3" borderId="19" xfId="0" quotePrefix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0" fillId="3" borderId="6" xfId="0" quotePrefix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quotePrefix="1" applyFill="1" applyBorder="1" applyAlignment="1">
      <alignment horizontal="center"/>
    </xf>
    <xf numFmtId="0" fontId="0" fillId="3" borderId="4" xfId="0" quotePrefix="1" applyFill="1" applyBorder="1" applyAlignment="1">
      <alignment horizontal="center"/>
    </xf>
    <xf numFmtId="165" fontId="1" fillId="4" borderId="16" xfId="0" applyNumberFormat="1" applyFont="1" applyFill="1" applyBorder="1" applyAlignment="1">
      <alignment horizontal="center"/>
    </xf>
    <xf numFmtId="165" fontId="1" fillId="4" borderId="17" xfId="0" applyNumberFormat="1" applyFont="1" applyFill="1" applyBorder="1" applyAlignment="1">
      <alignment horizontal="center"/>
    </xf>
    <xf numFmtId="165" fontId="1" fillId="4" borderId="8" xfId="0" applyNumberFormat="1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6" xfId="0" quotePrefix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" fillId="0" borderId="13" xfId="0" applyFont="1" applyBorder="1"/>
    <xf numFmtId="0" fontId="3" fillId="0" borderId="14" xfId="0" applyFont="1" applyFill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0" xfId="0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quotePrefix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19" xfId="0" quotePrefix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0" borderId="23" xfId="0" applyNumberFormat="1" applyFill="1" applyBorder="1" applyAlignment="1">
      <alignment horizontal="center"/>
    </xf>
    <xf numFmtId="0" fontId="3" fillId="5" borderId="7" xfId="0" applyFont="1" applyFill="1" applyBorder="1" applyAlignment="1">
      <alignment horizontal="right"/>
    </xf>
    <xf numFmtId="2" fontId="0" fillId="5" borderId="9" xfId="0" applyNumberFormat="1" applyFill="1" applyBorder="1" applyAlignment="1">
      <alignment horizontal="center"/>
    </xf>
    <xf numFmtId="2" fontId="0" fillId="6" borderId="9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0" fontId="3" fillId="7" borderId="7" xfId="0" applyFont="1" applyFill="1" applyBorder="1" applyAlignment="1">
      <alignment horizontal="right"/>
    </xf>
    <xf numFmtId="2" fontId="0" fillId="7" borderId="9" xfId="0" applyNumberFormat="1" applyFill="1" applyBorder="1" applyAlignment="1">
      <alignment horizontal="center"/>
    </xf>
    <xf numFmtId="0" fontId="3" fillId="8" borderId="0" xfId="0" applyFont="1" applyFill="1"/>
    <xf numFmtId="0" fontId="0" fillId="8" borderId="0" xfId="0" applyFill="1"/>
    <xf numFmtId="0" fontId="0" fillId="0" borderId="0" xfId="0" applyFill="1"/>
    <xf numFmtId="0" fontId="0" fillId="2" borderId="0" xfId="0" applyFill="1"/>
    <xf numFmtId="0" fontId="0" fillId="9" borderId="0" xfId="0" applyFill="1"/>
    <xf numFmtId="2" fontId="0" fillId="0" borderId="9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6" borderId="0" xfId="0" applyFill="1"/>
    <xf numFmtId="0" fontId="0" fillId="11" borderId="0" xfId="0" applyFill="1"/>
    <xf numFmtId="2" fontId="0" fillId="0" borderId="0" xfId="0" applyNumberFormat="1" applyAlignment="1">
      <alignment horizontal="center"/>
    </xf>
    <xf numFmtId="0" fontId="0" fillId="9" borderId="1" xfId="0" applyFill="1" applyBorder="1"/>
    <xf numFmtId="165" fontId="0" fillId="9" borderId="1" xfId="0" applyNumberFormat="1" applyFill="1" applyBorder="1" applyAlignment="1">
      <alignment horizontal="center"/>
    </xf>
    <xf numFmtId="0" fontId="0" fillId="11" borderId="1" xfId="0" applyFill="1" applyBorder="1"/>
    <xf numFmtId="165" fontId="0" fillId="11" borderId="1" xfId="0" applyNumberFormat="1" applyFill="1" applyBorder="1" applyAlignment="1">
      <alignment horizontal="center"/>
    </xf>
    <xf numFmtId="0" fontId="0" fillId="2" borderId="1" xfId="0" applyFill="1" applyBorder="1"/>
    <xf numFmtId="165" fontId="0" fillId="2" borderId="1" xfId="0" applyNumberFormat="1" applyFill="1" applyBorder="1" applyAlignment="1">
      <alignment horizontal="center"/>
    </xf>
    <xf numFmtId="0" fontId="3" fillId="0" borderId="0" xfId="0" applyFont="1" applyAlignment="1">
      <alignment horizontal="right"/>
    </xf>
    <xf numFmtId="9" fontId="1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1" xfId="0" quotePrefix="1" applyFill="1" applyBorder="1" applyAlignment="1">
      <alignment horizontal="center"/>
    </xf>
    <xf numFmtId="170" fontId="0" fillId="0" borderId="11" xfId="0" quotePrefix="1" applyNumberFormat="1" applyFill="1" applyBorder="1" applyAlignment="1">
      <alignment horizontal="center"/>
    </xf>
    <xf numFmtId="170" fontId="0" fillId="0" borderId="11" xfId="0" applyNumberFormat="1" applyFill="1" applyBorder="1" applyAlignment="1">
      <alignment horizontal="center"/>
    </xf>
    <xf numFmtId="2" fontId="0" fillId="12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10" borderId="11" xfId="0" applyNumberFormat="1" applyFill="1" applyBorder="1" applyAlignment="1">
      <alignment horizontal="center"/>
    </xf>
    <xf numFmtId="170" fontId="0" fillId="0" borderId="1" xfId="0" quotePrefix="1" applyNumberFormat="1" applyFill="1" applyBorder="1" applyAlignment="1">
      <alignment horizontal="center"/>
    </xf>
    <xf numFmtId="170" fontId="0" fillId="0" borderId="1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70" fontId="0" fillId="13" borderId="1" xfId="0" quotePrefix="1" applyNumberFormat="1" applyFill="1" applyBorder="1" applyAlignment="1">
      <alignment horizontal="center"/>
    </xf>
    <xf numFmtId="170" fontId="0" fillId="13" borderId="1" xfId="0" applyNumberFormat="1" applyFill="1" applyBorder="1" applyAlignment="1">
      <alignment horizontal="center"/>
    </xf>
    <xf numFmtId="2" fontId="0" fillId="13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70" fontId="0" fillId="10" borderId="1" xfId="0" applyNumberFormat="1" applyFill="1" applyBorder="1" applyAlignment="1">
      <alignment horizontal="center"/>
    </xf>
    <xf numFmtId="165" fontId="0" fillId="13" borderId="1" xfId="0" applyNumberFormat="1" applyFill="1" applyBorder="1" applyAlignment="1">
      <alignment horizontal="center"/>
    </xf>
    <xf numFmtId="170" fontId="0" fillId="8" borderId="1" xfId="0" applyNumberFormat="1" applyFill="1" applyBorder="1" applyAlignment="1">
      <alignment horizontal="center"/>
    </xf>
    <xf numFmtId="165" fontId="0" fillId="8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13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2" fontId="0" fillId="0" borderId="0" xfId="0" applyNumberFormat="1" applyBorder="1"/>
    <xf numFmtId="170" fontId="0" fillId="0" borderId="0" xfId="0" applyNumberFormat="1" applyBorder="1"/>
    <xf numFmtId="11" fontId="0" fillId="0" borderId="0" xfId="0" applyNumberFormat="1" applyBorder="1"/>
    <xf numFmtId="9" fontId="0" fillId="0" borderId="0" xfId="0" applyNumberFormat="1" applyBorder="1"/>
    <xf numFmtId="0" fontId="3" fillId="0" borderId="0" xfId="0" applyFont="1" applyAlignment="1"/>
    <xf numFmtId="165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0" fillId="0" borderId="0" xfId="0" applyNumberFormat="1" applyBorder="1"/>
    <xf numFmtId="167" fontId="0" fillId="0" borderId="0" xfId="0" applyNumberFormat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165" fontId="0" fillId="14" borderId="1" xfId="0" applyNumberFormat="1" applyFill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1" fillId="14" borderId="8" xfId="0" applyFont="1" applyFill="1" applyBorder="1" applyAlignment="1">
      <alignment horizontal="center"/>
    </xf>
    <xf numFmtId="165" fontId="0" fillId="14" borderId="8" xfId="0" applyNumberFormat="1" applyFill="1" applyBorder="1" applyAlignment="1">
      <alignment horizontal="center"/>
    </xf>
    <xf numFmtId="0" fontId="14" fillId="0" borderId="0" xfId="0" applyFont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164" fontId="0" fillId="15" borderId="3" xfId="0" applyNumberFormat="1" applyFill="1" applyBorder="1" applyAlignment="1">
      <alignment horizontal="center"/>
    </xf>
    <xf numFmtId="169" fontId="0" fillId="15" borderId="4" xfId="0" applyNumberFormat="1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164" fontId="0" fillId="15" borderId="1" xfId="0" applyNumberFormat="1" applyFill="1" applyBorder="1" applyAlignment="1">
      <alignment horizontal="center"/>
    </xf>
    <xf numFmtId="169" fontId="0" fillId="15" borderId="6" xfId="0" applyNumberFormat="1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1" fillId="15" borderId="16" xfId="0" applyFont="1" applyFill="1" applyBorder="1" applyAlignment="1">
      <alignment horizontal="center"/>
    </xf>
    <xf numFmtId="164" fontId="0" fillId="15" borderId="16" xfId="0" applyNumberFormat="1" applyFill="1" applyBorder="1" applyAlignment="1">
      <alignment horizontal="center"/>
    </xf>
    <xf numFmtId="169" fontId="0" fillId="15" borderId="17" xfId="0" applyNumberForma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164" fontId="0" fillId="14" borderId="3" xfId="0" applyNumberFormat="1" applyFill="1" applyBorder="1" applyAlignment="1">
      <alignment horizontal="center"/>
    </xf>
    <xf numFmtId="169" fontId="0" fillId="14" borderId="4" xfId="0" applyNumberFormat="1" applyFill="1" applyBorder="1" applyAlignment="1">
      <alignment horizontal="center"/>
    </xf>
    <xf numFmtId="164" fontId="0" fillId="14" borderId="1" xfId="0" applyNumberFormat="1" applyFill="1" applyBorder="1" applyAlignment="1">
      <alignment horizontal="center"/>
    </xf>
    <xf numFmtId="169" fontId="0" fillId="14" borderId="6" xfId="0" applyNumberFormat="1" applyFill="1" applyBorder="1" applyAlignment="1">
      <alignment horizontal="center"/>
    </xf>
    <xf numFmtId="164" fontId="0" fillId="14" borderId="8" xfId="0" applyNumberFormat="1" applyFill="1" applyBorder="1" applyAlignment="1">
      <alignment horizontal="center"/>
    </xf>
    <xf numFmtId="169" fontId="0" fillId="14" borderId="9" xfId="0" applyNumberFormat="1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1" fillId="15" borderId="11" xfId="0" applyFont="1" applyFill="1" applyBorder="1" applyAlignment="1">
      <alignment horizontal="center"/>
    </xf>
    <xf numFmtId="164" fontId="0" fillId="15" borderId="11" xfId="0" applyNumberFormat="1" applyFill="1" applyBorder="1" applyAlignment="1">
      <alignment horizontal="center"/>
    </xf>
    <xf numFmtId="169" fontId="0" fillId="15" borderId="19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6" borderId="0" xfId="0" quotePrefix="1" applyFill="1"/>
    <xf numFmtId="2" fontId="0" fillId="14" borderId="1" xfId="0" applyNumberFormat="1" applyFill="1" applyBorder="1" applyAlignment="1">
      <alignment horizontal="center"/>
    </xf>
    <xf numFmtId="167" fontId="0" fillId="14" borderId="1" xfId="0" applyNumberFormat="1" applyFill="1" applyBorder="1" applyAlignment="1">
      <alignment horizontal="center"/>
    </xf>
    <xf numFmtId="2" fontId="0" fillId="14" borderId="6" xfId="0" applyNumberFormat="1" applyFill="1" applyBorder="1" applyAlignment="1">
      <alignment horizontal="center"/>
    </xf>
    <xf numFmtId="2" fontId="0" fillId="14" borderId="8" xfId="0" applyNumberFormat="1" applyFill="1" applyBorder="1" applyAlignment="1">
      <alignment horizontal="center"/>
    </xf>
    <xf numFmtId="167" fontId="0" fillId="14" borderId="8" xfId="0" applyNumberFormat="1" applyFill="1" applyBorder="1" applyAlignment="1">
      <alignment horizontal="center"/>
    </xf>
    <xf numFmtId="2" fontId="0" fillId="14" borderId="9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0" fillId="0" borderId="0" xfId="0" applyNumberFormat="1"/>
    <xf numFmtId="9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5" xfId="0" applyFont="1" applyBorder="1" applyAlignment="1">
      <alignment horizontal="center"/>
    </xf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420516185476814"/>
                  <c:y val="-0.233934456109652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'RCG Material Props.'!$F$7:$F$246</c:f>
              <c:numCache>
                <c:formatCode>General</c:formatCode>
                <c:ptCount val="240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3.25</c:v>
                </c:pt>
                <c:pt idx="5">
                  <c:v>3.25</c:v>
                </c:pt>
                <c:pt idx="6">
                  <c:v>3.25</c:v>
                </c:pt>
                <c:pt idx="7">
                  <c:v>3.25</c:v>
                </c:pt>
                <c:pt idx="8">
                  <c:v>3.25</c:v>
                </c:pt>
                <c:pt idx="9">
                  <c:v>3.25</c:v>
                </c:pt>
                <c:pt idx="10">
                  <c:v>3.25</c:v>
                </c:pt>
                <c:pt idx="11">
                  <c:v>3.25</c:v>
                </c:pt>
                <c:pt idx="12">
                  <c:v>3.25</c:v>
                </c:pt>
                <c:pt idx="13">
                  <c:v>3.25</c:v>
                </c:pt>
                <c:pt idx="14">
                  <c:v>3.25</c:v>
                </c:pt>
                <c:pt idx="15">
                  <c:v>3.25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2.75</c:v>
                </c:pt>
                <c:pt idx="41">
                  <c:v>2.75</c:v>
                </c:pt>
                <c:pt idx="42">
                  <c:v>2.75</c:v>
                </c:pt>
                <c:pt idx="43">
                  <c:v>2.75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3.25</c:v>
                </c:pt>
                <c:pt idx="57">
                  <c:v>3.25</c:v>
                </c:pt>
                <c:pt idx="58">
                  <c:v>3.25</c:v>
                </c:pt>
                <c:pt idx="59">
                  <c:v>3.25</c:v>
                </c:pt>
                <c:pt idx="60">
                  <c:v>3.25</c:v>
                </c:pt>
                <c:pt idx="61">
                  <c:v>3.25</c:v>
                </c:pt>
                <c:pt idx="62">
                  <c:v>3.25</c:v>
                </c:pt>
                <c:pt idx="63">
                  <c:v>3.25</c:v>
                </c:pt>
                <c:pt idx="64">
                  <c:v>3.5</c:v>
                </c:pt>
                <c:pt idx="65">
                  <c:v>3.5</c:v>
                </c:pt>
                <c:pt idx="66">
                  <c:v>3.5</c:v>
                </c:pt>
                <c:pt idx="67">
                  <c:v>3.5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3.75</c:v>
                </c:pt>
                <c:pt idx="73">
                  <c:v>3.75</c:v>
                </c:pt>
                <c:pt idx="74">
                  <c:v>3.75</c:v>
                </c:pt>
                <c:pt idx="75">
                  <c:v>3.75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2.25</c:v>
                </c:pt>
                <c:pt idx="81">
                  <c:v>2.25</c:v>
                </c:pt>
                <c:pt idx="82">
                  <c:v>2.25</c:v>
                </c:pt>
                <c:pt idx="83">
                  <c:v>2.25</c:v>
                </c:pt>
                <c:pt idx="84">
                  <c:v>3.25</c:v>
                </c:pt>
                <c:pt idx="85">
                  <c:v>3.25</c:v>
                </c:pt>
                <c:pt idx="86">
                  <c:v>3.25</c:v>
                </c:pt>
                <c:pt idx="87">
                  <c:v>3.25</c:v>
                </c:pt>
                <c:pt idx="88">
                  <c:v>3.25</c:v>
                </c:pt>
                <c:pt idx="89">
                  <c:v>3.25</c:v>
                </c:pt>
                <c:pt idx="90">
                  <c:v>3.25</c:v>
                </c:pt>
                <c:pt idx="91">
                  <c:v>3.25</c:v>
                </c:pt>
                <c:pt idx="92">
                  <c:v>3.5</c:v>
                </c:pt>
                <c:pt idx="93">
                  <c:v>3.5</c:v>
                </c:pt>
                <c:pt idx="94">
                  <c:v>3.5</c:v>
                </c:pt>
                <c:pt idx="95">
                  <c:v>3.5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3.5</c:v>
                </c:pt>
                <c:pt idx="101">
                  <c:v>3.5</c:v>
                </c:pt>
                <c:pt idx="102">
                  <c:v>3.5</c:v>
                </c:pt>
                <c:pt idx="103">
                  <c:v>3.5</c:v>
                </c:pt>
                <c:pt idx="104">
                  <c:v>3.25</c:v>
                </c:pt>
                <c:pt idx="105">
                  <c:v>3.25</c:v>
                </c:pt>
                <c:pt idx="106">
                  <c:v>3.25</c:v>
                </c:pt>
                <c:pt idx="107">
                  <c:v>3.25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2.75</c:v>
                </c:pt>
                <c:pt idx="113">
                  <c:v>2.75</c:v>
                </c:pt>
                <c:pt idx="114">
                  <c:v>2.75</c:v>
                </c:pt>
                <c:pt idx="115">
                  <c:v>2.75</c:v>
                </c:pt>
                <c:pt idx="116">
                  <c:v>3.25</c:v>
                </c:pt>
                <c:pt idx="117">
                  <c:v>3.25</c:v>
                </c:pt>
                <c:pt idx="118">
                  <c:v>3.25</c:v>
                </c:pt>
                <c:pt idx="119">
                  <c:v>3.25</c:v>
                </c:pt>
                <c:pt idx="120">
                  <c:v>3.75</c:v>
                </c:pt>
                <c:pt idx="121">
                  <c:v>3.75</c:v>
                </c:pt>
                <c:pt idx="122">
                  <c:v>3.75</c:v>
                </c:pt>
                <c:pt idx="123">
                  <c:v>3.75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3.5</c:v>
                </c:pt>
                <c:pt idx="141">
                  <c:v>3.5</c:v>
                </c:pt>
                <c:pt idx="142">
                  <c:v>3.5</c:v>
                </c:pt>
                <c:pt idx="143">
                  <c:v>3.5</c:v>
                </c:pt>
                <c:pt idx="144">
                  <c:v>3.25</c:v>
                </c:pt>
                <c:pt idx="145">
                  <c:v>3.25</c:v>
                </c:pt>
                <c:pt idx="146">
                  <c:v>3.25</c:v>
                </c:pt>
                <c:pt idx="147">
                  <c:v>3.25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3.5</c:v>
                </c:pt>
                <c:pt idx="153">
                  <c:v>3.5</c:v>
                </c:pt>
                <c:pt idx="154">
                  <c:v>3.5</c:v>
                </c:pt>
                <c:pt idx="155">
                  <c:v>3.5</c:v>
                </c:pt>
                <c:pt idx="156">
                  <c:v>3.5</c:v>
                </c:pt>
                <c:pt idx="157">
                  <c:v>3.5</c:v>
                </c:pt>
                <c:pt idx="158">
                  <c:v>3.5</c:v>
                </c:pt>
                <c:pt idx="159">
                  <c:v>3.5</c:v>
                </c:pt>
                <c:pt idx="160">
                  <c:v>3.25</c:v>
                </c:pt>
                <c:pt idx="161">
                  <c:v>3.25</c:v>
                </c:pt>
                <c:pt idx="162">
                  <c:v>3.25</c:v>
                </c:pt>
                <c:pt idx="163">
                  <c:v>3.25</c:v>
                </c:pt>
                <c:pt idx="164">
                  <c:v>3.25</c:v>
                </c:pt>
                <c:pt idx="165">
                  <c:v>3.25</c:v>
                </c:pt>
                <c:pt idx="166">
                  <c:v>3.25</c:v>
                </c:pt>
                <c:pt idx="167">
                  <c:v>3.25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3.5</c:v>
                </c:pt>
                <c:pt idx="181">
                  <c:v>3.5</c:v>
                </c:pt>
                <c:pt idx="182">
                  <c:v>3.5</c:v>
                </c:pt>
                <c:pt idx="183">
                  <c:v>3.5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3.25</c:v>
                </c:pt>
                <c:pt idx="189">
                  <c:v>3.25</c:v>
                </c:pt>
                <c:pt idx="190">
                  <c:v>3.25</c:v>
                </c:pt>
                <c:pt idx="191">
                  <c:v>3.25</c:v>
                </c:pt>
                <c:pt idx="192">
                  <c:v>3.25</c:v>
                </c:pt>
                <c:pt idx="193">
                  <c:v>3.25</c:v>
                </c:pt>
                <c:pt idx="194">
                  <c:v>3.25</c:v>
                </c:pt>
                <c:pt idx="195">
                  <c:v>3.25</c:v>
                </c:pt>
                <c:pt idx="196">
                  <c:v>3.25</c:v>
                </c:pt>
                <c:pt idx="197">
                  <c:v>3.25</c:v>
                </c:pt>
                <c:pt idx="198">
                  <c:v>3.25</c:v>
                </c:pt>
                <c:pt idx="199">
                  <c:v>3.25</c:v>
                </c:pt>
                <c:pt idx="200">
                  <c:v>3.5</c:v>
                </c:pt>
                <c:pt idx="201">
                  <c:v>3.5</c:v>
                </c:pt>
                <c:pt idx="202">
                  <c:v>3.5</c:v>
                </c:pt>
                <c:pt idx="203">
                  <c:v>3.5</c:v>
                </c:pt>
                <c:pt idx="204">
                  <c:v>3.25</c:v>
                </c:pt>
                <c:pt idx="205">
                  <c:v>3.25</c:v>
                </c:pt>
                <c:pt idx="206">
                  <c:v>3.25</c:v>
                </c:pt>
                <c:pt idx="207">
                  <c:v>3.25</c:v>
                </c:pt>
                <c:pt idx="208">
                  <c:v>3.5</c:v>
                </c:pt>
                <c:pt idx="209">
                  <c:v>3.5</c:v>
                </c:pt>
                <c:pt idx="210">
                  <c:v>3.5</c:v>
                </c:pt>
                <c:pt idx="211">
                  <c:v>3.5</c:v>
                </c:pt>
                <c:pt idx="212">
                  <c:v>3.25</c:v>
                </c:pt>
                <c:pt idx="213">
                  <c:v>3.25</c:v>
                </c:pt>
                <c:pt idx="214">
                  <c:v>3.25</c:v>
                </c:pt>
                <c:pt idx="215">
                  <c:v>3.25</c:v>
                </c:pt>
                <c:pt idx="216">
                  <c:v>2.75</c:v>
                </c:pt>
                <c:pt idx="217">
                  <c:v>2.75</c:v>
                </c:pt>
                <c:pt idx="218">
                  <c:v>2.75</c:v>
                </c:pt>
                <c:pt idx="219">
                  <c:v>2.75</c:v>
                </c:pt>
                <c:pt idx="220">
                  <c:v>2.5</c:v>
                </c:pt>
                <c:pt idx="221">
                  <c:v>2.5</c:v>
                </c:pt>
                <c:pt idx="222">
                  <c:v>2.5</c:v>
                </c:pt>
                <c:pt idx="223">
                  <c:v>2.5</c:v>
                </c:pt>
                <c:pt idx="224">
                  <c:v>2.75</c:v>
                </c:pt>
                <c:pt idx="225">
                  <c:v>2.75</c:v>
                </c:pt>
                <c:pt idx="226">
                  <c:v>2.75</c:v>
                </c:pt>
                <c:pt idx="227">
                  <c:v>2.75</c:v>
                </c:pt>
                <c:pt idx="228">
                  <c:v>3.5</c:v>
                </c:pt>
                <c:pt idx="229">
                  <c:v>3.5</c:v>
                </c:pt>
                <c:pt idx="230">
                  <c:v>3.5</c:v>
                </c:pt>
                <c:pt idx="231">
                  <c:v>3.5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2.75</c:v>
                </c:pt>
                <c:pt idx="237">
                  <c:v>2.75</c:v>
                </c:pt>
                <c:pt idx="238">
                  <c:v>2.75</c:v>
                </c:pt>
                <c:pt idx="239">
                  <c:v>2.75</c:v>
                </c:pt>
              </c:numCache>
            </c:numRef>
          </c:xVal>
          <c:yVal>
            <c:numRef>
              <c:f>'RCG Material Props.'!$K$7:$K$246</c:f>
              <c:numCache>
                <c:formatCode>General</c:formatCode>
                <c:ptCount val="240"/>
                <c:pt idx="0">
                  <c:v>4.2713256355932205E-2</c:v>
                </c:pt>
                <c:pt idx="1">
                  <c:v>2.6952749999999998E-2</c:v>
                </c:pt>
                <c:pt idx="2">
                  <c:v>6.1792242187499992E-2</c:v>
                </c:pt>
                <c:pt idx="3">
                  <c:v>2.7016619075829376E-2</c:v>
                </c:pt>
                <c:pt idx="4">
                  <c:v>3.5167995527306962E-2</c:v>
                </c:pt>
                <c:pt idx="5">
                  <c:v>6.3071348736176919E-3</c:v>
                </c:pt>
                <c:pt idx="6">
                  <c:v>2.7544174132947973E-2</c:v>
                </c:pt>
                <c:pt idx="7">
                  <c:v>3.0943896362098131E-2</c:v>
                </c:pt>
                <c:pt idx="8">
                  <c:v>3.610572318699188E-2</c:v>
                </c:pt>
                <c:pt idx="9">
                  <c:v>2.8992729333333338E-2</c:v>
                </c:pt>
                <c:pt idx="10">
                  <c:v>5.1685458218905488E-2</c:v>
                </c:pt>
                <c:pt idx="11">
                  <c:v>3.8128640763320953E-2</c:v>
                </c:pt>
                <c:pt idx="12">
                  <c:v>3.5272797250859113E-2</c:v>
                </c:pt>
                <c:pt idx="13">
                  <c:v>2.7249612403100778E-2</c:v>
                </c:pt>
                <c:pt idx="14">
                  <c:v>2.7583387559808614E-2</c:v>
                </c:pt>
                <c:pt idx="15">
                  <c:v>3.6300758169934645E-2</c:v>
                </c:pt>
                <c:pt idx="16">
                  <c:v>1.7203811175337189E-2</c:v>
                </c:pt>
                <c:pt idx="17">
                  <c:v>1.1600335195530729E-2</c:v>
                </c:pt>
                <c:pt idx="18">
                  <c:v>1.5767990138067067E-2</c:v>
                </c:pt>
                <c:pt idx="19">
                  <c:v>1.25478089668616E-2</c:v>
                </c:pt>
                <c:pt idx="20">
                  <c:v>1.5032347826086956E-2</c:v>
                </c:pt>
                <c:pt idx="21">
                  <c:v>1.1270657718120804E-2</c:v>
                </c:pt>
                <c:pt idx="22">
                  <c:v>6.2521518987341757E-3</c:v>
                </c:pt>
                <c:pt idx="23">
                  <c:v>1.0487342465753424E-2</c:v>
                </c:pt>
                <c:pt idx="24">
                  <c:v>5.7752912751677869E-2</c:v>
                </c:pt>
                <c:pt idx="25">
                  <c:v>4.9172480000000011E-2</c:v>
                </c:pt>
                <c:pt idx="26">
                  <c:v>4.9827555555555562E-2</c:v>
                </c:pt>
                <c:pt idx="27">
                  <c:v>6.8631540229885074E-2</c:v>
                </c:pt>
                <c:pt idx="28">
                  <c:v>1.5219560878243513E-2</c:v>
                </c:pt>
                <c:pt idx="29">
                  <c:v>1.6618497109826592E-2</c:v>
                </c:pt>
                <c:pt idx="30">
                  <c:v>1.7959770114942531E-2</c:v>
                </c:pt>
                <c:pt idx="31">
                  <c:v>1.5027322404371582E-2</c:v>
                </c:pt>
                <c:pt idx="32">
                  <c:v>7.66200853858785E-2</c:v>
                </c:pt>
                <c:pt idx="33">
                  <c:v>6.0877042654028435E-2</c:v>
                </c:pt>
                <c:pt idx="34">
                  <c:v>7.1661940035273389E-2</c:v>
                </c:pt>
                <c:pt idx="35">
                  <c:v>3.479787610619469E-2</c:v>
                </c:pt>
                <c:pt idx="36">
                  <c:v>3.0224214539007088E-2</c:v>
                </c:pt>
                <c:pt idx="37">
                  <c:v>2.8006227272727266E-2</c:v>
                </c:pt>
                <c:pt idx="38">
                  <c:v>2.3911749601275914E-2</c:v>
                </c:pt>
                <c:pt idx="39">
                  <c:v>3.9119809523809522E-2</c:v>
                </c:pt>
                <c:pt idx="40">
                  <c:v>2.1679826086956525E-2</c:v>
                </c:pt>
                <c:pt idx="41">
                  <c:v>3.5257090909090912E-2</c:v>
                </c:pt>
                <c:pt idx="42">
                  <c:v>2.870033497536946E-2</c:v>
                </c:pt>
                <c:pt idx="43">
                  <c:v>3.6769668449197865E-2</c:v>
                </c:pt>
                <c:pt idx="44">
                  <c:v>5.3132875621890535E-2</c:v>
                </c:pt>
                <c:pt idx="45">
                  <c:v>4.4852885057471259E-2</c:v>
                </c:pt>
                <c:pt idx="46">
                  <c:v>3.5056640901771338E-2</c:v>
                </c:pt>
                <c:pt idx="47">
                  <c:v>3.4229833333333341E-2</c:v>
                </c:pt>
                <c:pt idx="48">
                  <c:v>3.0077393258426968E-2</c:v>
                </c:pt>
                <c:pt idx="49">
                  <c:v>2.9282778947368426E-2</c:v>
                </c:pt>
                <c:pt idx="50">
                  <c:v>2.9725346938775515E-2</c:v>
                </c:pt>
                <c:pt idx="51">
                  <c:v>2.5863652173913048E-2</c:v>
                </c:pt>
                <c:pt idx="52">
                  <c:v>6.7009900990099014E-2</c:v>
                </c:pt>
                <c:pt idx="53">
                  <c:v>5.9598086124401907E-2</c:v>
                </c:pt>
                <c:pt idx="54">
                  <c:v>5.2392857142857151E-2</c:v>
                </c:pt>
                <c:pt idx="55">
                  <c:v>5.2690909090909094E-2</c:v>
                </c:pt>
                <c:pt idx="56">
                  <c:v>1.676752673410405E-2</c:v>
                </c:pt>
                <c:pt idx="57">
                  <c:v>4.3238542899408303E-3</c:v>
                </c:pt>
                <c:pt idx="58">
                  <c:v>6.9118049132947989E-3</c:v>
                </c:pt>
                <c:pt idx="59">
                  <c:v>1.1471868975903616E-2</c:v>
                </c:pt>
                <c:pt idx="60">
                  <c:v>6.7216935483870963E-2</c:v>
                </c:pt>
                <c:pt idx="61">
                  <c:v>6.2689846153846165E-2</c:v>
                </c:pt>
                <c:pt idx="62">
                  <c:v>7.1493323275862081E-2</c:v>
                </c:pt>
                <c:pt idx="63">
                  <c:v>1.3949623430962345E-2</c:v>
                </c:pt>
                <c:pt idx="64">
                  <c:v>1.5091973154362415E-2</c:v>
                </c:pt>
                <c:pt idx="65">
                  <c:v>1.6873074626865669E-2</c:v>
                </c:pt>
                <c:pt idx="66">
                  <c:v>1.7101855670103094E-2</c:v>
                </c:pt>
                <c:pt idx="67">
                  <c:v>3.0232380952380952E-2</c:v>
                </c:pt>
                <c:pt idx="68">
                  <c:v>1.9044670212765961E-2</c:v>
                </c:pt>
                <c:pt idx="69">
                  <c:v>2.3487892682926833E-2</c:v>
                </c:pt>
                <c:pt idx="70">
                  <c:v>3.9563959090909102E-2</c:v>
                </c:pt>
                <c:pt idx="71">
                  <c:v>3.27442695652174E-2</c:v>
                </c:pt>
                <c:pt idx="72">
                  <c:v>5.3647266055045877E-2</c:v>
                </c:pt>
                <c:pt idx="73">
                  <c:v>4.9663999999999993E-2</c:v>
                </c:pt>
                <c:pt idx="74">
                  <c:v>4.904365145228215E-2</c:v>
                </c:pt>
                <c:pt idx="75">
                  <c:v>4.4750418972332007E-2</c:v>
                </c:pt>
                <c:pt idx="76">
                  <c:v>6.9551286732456155E-2</c:v>
                </c:pt>
                <c:pt idx="77">
                  <c:v>4.8502831586826341E-2</c:v>
                </c:pt>
                <c:pt idx="78">
                  <c:v>3.9309885767790258E-2</c:v>
                </c:pt>
                <c:pt idx="79">
                  <c:v>4.5038797951582867E-2</c:v>
                </c:pt>
                <c:pt idx="80">
                  <c:v>9.6799450549450577E-3</c:v>
                </c:pt>
                <c:pt idx="81">
                  <c:v>7.3588917525773219E-3</c:v>
                </c:pt>
                <c:pt idx="82">
                  <c:v>7.2321428571428571E-3</c:v>
                </c:pt>
                <c:pt idx="83">
                  <c:v>1.0800000000000002E-2</c:v>
                </c:pt>
                <c:pt idx="84">
                  <c:v>7.016087600644122E-2</c:v>
                </c:pt>
                <c:pt idx="85">
                  <c:v>5.209543522561863E-2</c:v>
                </c:pt>
                <c:pt idx="86">
                  <c:v>5.529424025157232E-2</c:v>
                </c:pt>
                <c:pt idx="87">
                  <c:v>7.0634523035230337E-2</c:v>
                </c:pt>
                <c:pt idx="88">
                  <c:v>4.7791857798165138E-2</c:v>
                </c:pt>
                <c:pt idx="89">
                  <c:v>2.9396950207468884E-2</c:v>
                </c:pt>
                <c:pt idx="90">
                  <c:v>2.8019451063829789E-2</c:v>
                </c:pt>
                <c:pt idx="91">
                  <c:v>3.0550231075697213E-2</c:v>
                </c:pt>
                <c:pt idx="92">
                  <c:v>4.6991472527472537E-2</c:v>
                </c:pt>
                <c:pt idx="93">
                  <c:v>4.1856000000000004E-2</c:v>
                </c:pt>
                <c:pt idx="94">
                  <c:v>3.6299755102040816E-2</c:v>
                </c:pt>
                <c:pt idx="95">
                  <c:v>3.60999792746114E-2</c:v>
                </c:pt>
                <c:pt idx="96">
                  <c:v>1.7861161290322579E-2</c:v>
                </c:pt>
                <c:pt idx="97">
                  <c:v>1.7950651340996167E-2</c:v>
                </c:pt>
                <c:pt idx="98">
                  <c:v>1.4675895131086138E-2</c:v>
                </c:pt>
                <c:pt idx="99">
                  <c:v>2.7160115942028981E-2</c:v>
                </c:pt>
                <c:pt idx="100">
                  <c:v>5.0505747126436802E-2</c:v>
                </c:pt>
                <c:pt idx="101">
                  <c:v>5.9522608370702557E-2</c:v>
                </c:pt>
                <c:pt idx="102">
                  <c:v>7.162465132496515E-2</c:v>
                </c:pt>
                <c:pt idx="103">
                  <c:v>4.4150626843657829E-2</c:v>
                </c:pt>
                <c:pt idx="104">
                  <c:v>4.2805747572815543E-2</c:v>
                </c:pt>
                <c:pt idx="105">
                  <c:v>2.3066475336322872E-2</c:v>
                </c:pt>
                <c:pt idx="106">
                  <c:v>1.7252999999999998E-2</c:v>
                </c:pt>
                <c:pt idx="107">
                  <c:v>2.0279454545454548E-2</c:v>
                </c:pt>
                <c:pt idx="108">
                  <c:v>3.0082370370370374E-2</c:v>
                </c:pt>
                <c:pt idx="109">
                  <c:v>3.8938666666666684E-2</c:v>
                </c:pt>
                <c:pt idx="110">
                  <c:v>4.8224711111111124E-2</c:v>
                </c:pt>
                <c:pt idx="111">
                  <c:v>4.1443303834808272E-2</c:v>
                </c:pt>
                <c:pt idx="112">
                  <c:v>1.3032727272727272E-2</c:v>
                </c:pt>
                <c:pt idx="113">
                  <c:v>1.6242059405940593E-2</c:v>
                </c:pt>
                <c:pt idx="114">
                  <c:v>2.3944373831775698E-2</c:v>
                </c:pt>
                <c:pt idx="115">
                  <c:v>1.5331289719626167E-2</c:v>
                </c:pt>
                <c:pt idx="116">
                  <c:v>3.1131581896551738E-2</c:v>
                </c:pt>
                <c:pt idx="117">
                  <c:v>2.4270307692307699E-2</c:v>
                </c:pt>
                <c:pt idx="118">
                  <c:v>2.2312409638554225E-2</c:v>
                </c:pt>
                <c:pt idx="119">
                  <c:v>1.4709339843750004E-2</c:v>
                </c:pt>
                <c:pt idx="120">
                  <c:v>5.4787520743919876E-2</c:v>
                </c:pt>
                <c:pt idx="121">
                  <c:v>8.5146185338865824E-2</c:v>
                </c:pt>
                <c:pt idx="122">
                  <c:v>0.11634572451790633</c:v>
                </c:pt>
                <c:pt idx="123">
                  <c:v>7.3231112466124654E-2</c:v>
                </c:pt>
                <c:pt idx="124">
                  <c:v>3.7146619496855354E-2</c:v>
                </c:pt>
                <c:pt idx="125">
                  <c:v>2.6747603244837766E-2</c:v>
                </c:pt>
                <c:pt idx="126">
                  <c:v>2.4217612809315878E-2</c:v>
                </c:pt>
                <c:pt idx="127">
                  <c:v>2.1149364406779666E-2</c:v>
                </c:pt>
                <c:pt idx="128">
                  <c:v>1.2177921474358972E-2</c:v>
                </c:pt>
                <c:pt idx="129">
                  <c:v>2.3024551569506724E-2</c:v>
                </c:pt>
                <c:pt idx="130">
                  <c:v>2.0029684133915576E-2</c:v>
                </c:pt>
                <c:pt idx="131">
                  <c:v>1.083944722222222E-2</c:v>
                </c:pt>
                <c:pt idx="132">
                  <c:v>5.3412898678414096E-2</c:v>
                </c:pt>
                <c:pt idx="133">
                  <c:v>5.3680909090909092E-2</c:v>
                </c:pt>
                <c:pt idx="134">
                  <c:v>4.422393191489362E-2</c:v>
                </c:pt>
                <c:pt idx="135">
                  <c:v>4.8114000000000011E-2</c:v>
                </c:pt>
                <c:pt idx="136">
                  <c:v>2.8958333333333336E-2</c:v>
                </c:pt>
                <c:pt idx="137">
                  <c:v>2.7190923317683881E-2</c:v>
                </c:pt>
                <c:pt idx="138">
                  <c:v>2.5833333333333333E-2</c:v>
                </c:pt>
                <c:pt idx="139">
                  <c:v>1.3574660633484162E-2</c:v>
                </c:pt>
                <c:pt idx="140">
                  <c:v>4.7582608695652173E-2</c:v>
                </c:pt>
                <c:pt idx="141">
                  <c:v>3.5213973799126642E-2</c:v>
                </c:pt>
                <c:pt idx="142">
                  <c:v>4.8676056338028156E-2</c:v>
                </c:pt>
                <c:pt idx="143">
                  <c:v>1.9135135135135133E-2</c:v>
                </c:pt>
                <c:pt idx="144">
                  <c:v>4.2552919354838702E-2</c:v>
                </c:pt>
                <c:pt idx="145">
                  <c:v>4.6160604395604397E-2</c:v>
                </c:pt>
                <c:pt idx="146">
                  <c:v>3.360491999999999E-2</c:v>
                </c:pt>
                <c:pt idx="147">
                  <c:v>4.613947826086956E-2</c:v>
                </c:pt>
                <c:pt idx="148">
                  <c:v>2.5027509212730319E-2</c:v>
                </c:pt>
                <c:pt idx="149">
                  <c:v>1.2267673504273503E-2</c:v>
                </c:pt>
                <c:pt idx="150">
                  <c:v>8.4034999999999995E-3</c:v>
                </c:pt>
                <c:pt idx="151">
                  <c:v>1.1035752093802345E-2</c:v>
                </c:pt>
                <c:pt idx="152">
                  <c:v>4.0983089260808937E-2</c:v>
                </c:pt>
                <c:pt idx="153">
                  <c:v>5.6275614754098376E-2</c:v>
                </c:pt>
                <c:pt idx="154">
                  <c:v>1.4530423280423282E-2</c:v>
                </c:pt>
                <c:pt idx="155">
                  <c:v>1.6952160493827164E-2</c:v>
                </c:pt>
                <c:pt idx="156">
                  <c:v>3.4229833333333327E-2</c:v>
                </c:pt>
                <c:pt idx="157">
                  <c:v>1.4584885507246376E-2</c:v>
                </c:pt>
                <c:pt idx="158">
                  <c:v>2.5401324283559571E-2</c:v>
                </c:pt>
                <c:pt idx="159">
                  <c:v>2.7565617994100289E-2</c:v>
                </c:pt>
                <c:pt idx="160">
                  <c:v>2.0603447154471547E-2</c:v>
                </c:pt>
                <c:pt idx="161">
                  <c:v>1.1988859259259259E-2</c:v>
                </c:pt>
                <c:pt idx="162">
                  <c:v>1.2976057347670251E-2</c:v>
                </c:pt>
                <c:pt idx="163">
                  <c:v>1.7629655677655679E-2</c:v>
                </c:pt>
                <c:pt idx="164">
                  <c:v>4.4200421052631583E-2</c:v>
                </c:pt>
                <c:pt idx="165">
                  <c:v>5.2006458715596338E-2</c:v>
                </c:pt>
                <c:pt idx="166">
                  <c:v>2.9614788990825688E-2</c:v>
                </c:pt>
                <c:pt idx="167">
                  <c:v>1.8123659192825114E-2</c:v>
                </c:pt>
                <c:pt idx="168">
                  <c:v>3.8172413793103446E-2</c:v>
                </c:pt>
                <c:pt idx="169">
                  <c:v>3.0162162162162161E-2</c:v>
                </c:pt>
                <c:pt idx="170">
                  <c:v>2.5894736842105262E-2</c:v>
                </c:pt>
                <c:pt idx="171">
                  <c:v>2.1265822784810134E-2</c:v>
                </c:pt>
                <c:pt idx="172">
                  <c:v>2.4209253112033199E-2</c:v>
                </c:pt>
                <c:pt idx="173">
                  <c:v>3.4559341463414626E-2</c:v>
                </c:pt>
                <c:pt idx="174">
                  <c:v>4.2418687500000003E-2</c:v>
                </c:pt>
                <c:pt idx="175">
                  <c:v>4.1512342412451365E-2</c:v>
                </c:pt>
                <c:pt idx="176">
                  <c:v>2.6879328947368417E-2</c:v>
                </c:pt>
                <c:pt idx="177">
                  <c:v>3.1986482384823843E-2</c:v>
                </c:pt>
                <c:pt idx="178">
                  <c:v>2.254369115646258E-2</c:v>
                </c:pt>
                <c:pt idx="179">
                  <c:v>2.4705414965986397E-2</c:v>
                </c:pt>
                <c:pt idx="180">
                  <c:v>3.3951542005420048E-2</c:v>
                </c:pt>
                <c:pt idx="181">
                  <c:v>1.9598257516339864E-2</c:v>
                </c:pt>
                <c:pt idx="182">
                  <c:v>1.9445741893644616E-2</c:v>
                </c:pt>
                <c:pt idx="183">
                  <c:v>5.0028217948717936E-3</c:v>
                </c:pt>
                <c:pt idx="184">
                  <c:v>3.1179339477726584E-2</c:v>
                </c:pt>
                <c:pt idx="185">
                  <c:v>2.703593750000001E-2</c:v>
                </c:pt>
                <c:pt idx="186">
                  <c:v>2.881895924308589E-2</c:v>
                </c:pt>
                <c:pt idx="187">
                  <c:v>2.840548780487805E-2</c:v>
                </c:pt>
                <c:pt idx="188">
                  <c:v>2.4077651452282162E-2</c:v>
                </c:pt>
                <c:pt idx="189">
                  <c:v>1.7429929411764709E-2</c:v>
                </c:pt>
                <c:pt idx="190">
                  <c:v>1.3262519531250003E-2</c:v>
                </c:pt>
                <c:pt idx="191">
                  <c:v>1.0288500000000003E-2</c:v>
                </c:pt>
                <c:pt idx="192">
                  <c:v>1.2081872592592593E-2</c:v>
                </c:pt>
                <c:pt idx="193">
                  <c:v>1.8995500734214393E-2</c:v>
                </c:pt>
                <c:pt idx="194">
                  <c:v>1.5427822222222222E-2</c:v>
                </c:pt>
                <c:pt idx="195">
                  <c:v>1.0700761035007611E-2</c:v>
                </c:pt>
                <c:pt idx="196">
                  <c:v>2.3061046480743686E-2</c:v>
                </c:pt>
                <c:pt idx="197">
                  <c:v>2.2262779487179484E-2</c:v>
                </c:pt>
                <c:pt idx="198">
                  <c:v>2.3112440771349857E-2</c:v>
                </c:pt>
                <c:pt idx="199">
                  <c:v>2.5246559774964841E-2</c:v>
                </c:pt>
                <c:pt idx="200">
                  <c:v>2.2850379310344834E-2</c:v>
                </c:pt>
                <c:pt idx="201">
                  <c:v>1.9448678571428579E-2</c:v>
                </c:pt>
                <c:pt idx="202">
                  <c:v>1.2849759336099586E-2</c:v>
                </c:pt>
                <c:pt idx="203">
                  <c:v>2.9710188679245287E-2</c:v>
                </c:pt>
                <c:pt idx="204">
                  <c:v>2.2895506903353059E-2</c:v>
                </c:pt>
                <c:pt idx="205">
                  <c:v>1.095769551282051E-2</c:v>
                </c:pt>
                <c:pt idx="206">
                  <c:v>6.7796666666666665E-3</c:v>
                </c:pt>
                <c:pt idx="207">
                  <c:v>1.7913614197530861E-2</c:v>
                </c:pt>
                <c:pt idx="208">
                  <c:v>4.3744711111111112E-2</c:v>
                </c:pt>
                <c:pt idx="209">
                  <c:v>4.7733284178187403E-2</c:v>
                </c:pt>
                <c:pt idx="210">
                  <c:v>3.958866019417475E-2</c:v>
                </c:pt>
                <c:pt idx="211">
                  <c:v>3.6643296969696967E-2</c:v>
                </c:pt>
                <c:pt idx="212">
                  <c:v>2.0221276595744683E-2</c:v>
                </c:pt>
                <c:pt idx="213">
                  <c:v>1.006779661016949E-2</c:v>
                </c:pt>
                <c:pt idx="214">
                  <c:v>1.6529182879377432E-2</c:v>
                </c:pt>
                <c:pt idx="215">
                  <c:v>1.2431654676258992E-2</c:v>
                </c:pt>
                <c:pt idx="216">
                  <c:v>2.3901639344262298E-2</c:v>
                </c:pt>
                <c:pt idx="217">
                  <c:v>2.4564705882352936E-2</c:v>
                </c:pt>
                <c:pt idx="218">
                  <c:v>1.6819672131147542E-2</c:v>
                </c:pt>
                <c:pt idx="219">
                  <c:v>1.6724409448818898E-2</c:v>
                </c:pt>
                <c:pt idx="220">
                  <c:v>7.732299065420562E-3</c:v>
                </c:pt>
                <c:pt idx="221">
                  <c:v>8.7121728395061718E-3</c:v>
                </c:pt>
                <c:pt idx="222">
                  <c:v>9.4091466666666665E-3</c:v>
                </c:pt>
                <c:pt idx="223">
                  <c:v>8.5792948717948719E-3</c:v>
                </c:pt>
                <c:pt idx="224">
                  <c:v>1.0031207729468602E-2</c:v>
                </c:pt>
                <c:pt idx="225">
                  <c:v>2.899994290123457E-2</c:v>
                </c:pt>
                <c:pt idx="226">
                  <c:v>2.6406797788309646E-2</c:v>
                </c:pt>
                <c:pt idx="227">
                  <c:v>1.3843066666666673E-2</c:v>
                </c:pt>
                <c:pt idx="228">
                  <c:v>3.1054819047619048E-2</c:v>
                </c:pt>
                <c:pt idx="229">
                  <c:v>3.5756081632653057E-2</c:v>
                </c:pt>
                <c:pt idx="230">
                  <c:v>1.9810371794871794E-2</c:v>
                </c:pt>
                <c:pt idx="231">
                  <c:v>1.5838243285939968E-2</c:v>
                </c:pt>
                <c:pt idx="232">
                  <c:v>1.769508333333333E-2</c:v>
                </c:pt>
                <c:pt idx="233">
                  <c:v>1.9990222666666665E-2</c:v>
                </c:pt>
                <c:pt idx="234">
                  <c:v>1.6486205442176868E-2</c:v>
                </c:pt>
                <c:pt idx="235">
                  <c:v>1.5484924603174603E-2</c:v>
                </c:pt>
                <c:pt idx="236">
                  <c:v>1.3759199999999999E-2</c:v>
                </c:pt>
                <c:pt idx="237">
                  <c:v>6.4532261306532654E-3</c:v>
                </c:pt>
                <c:pt idx="238">
                  <c:v>8.6939999999999986E-3</c:v>
                </c:pt>
                <c:pt idx="239">
                  <c:v>7.5572459016393411E-3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115848"/>
        <c:axId val="386115456"/>
      </c:scatterChart>
      <c:valAx>
        <c:axId val="386115848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davg.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115456"/>
        <c:crosses val="autoZero"/>
        <c:crossBetween val="midCat"/>
      </c:valAx>
      <c:valAx>
        <c:axId val="38611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J (Nm^2)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3241356809565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115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F/w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'RCG Material Props.'!$BB$9:$BB$15</c:f>
              <c:numCache>
                <c:formatCode>General</c:formatCode>
                <c:ptCount val="7"/>
              </c:numCache>
            </c:numRef>
          </c:xVal>
          <c:yVal>
            <c:numRef>
              <c:f>'RCG Material Props.'!$BC$9:$BC$15</c:f>
              <c:numCache>
                <c:formatCode>0.000</c:formatCode>
                <c:ptCount val="7"/>
              </c:numCache>
            </c:numRef>
          </c:yVal>
          <c:smooth val="1"/>
        </c:ser>
        <c:ser>
          <c:idx val="1"/>
          <c:order val="1"/>
          <c:tx>
            <c:v>J (Nm^2)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'RCG Material Props.'!$BB$9:$BB$15</c:f>
              <c:numCache>
                <c:formatCode>General</c:formatCode>
                <c:ptCount val="7"/>
              </c:numCache>
            </c:numRef>
          </c:xVal>
          <c:yVal>
            <c:numRef>
              <c:f>'RCG Material Props.'!$BD$9:$BD$15</c:f>
              <c:numCache>
                <c:formatCode>0.00000</c:formatCode>
                <c:ptCount val="7"/>
              </c:numCache>
            </c:numRef>
          </c:yVal>
          <c:smooth val="1"/>
        </c:ser>
        <c:ser>
          <c:idx val="2"/>
          <c:order val="2"/>
          <c:tx>
            <c:v>E (Gpa)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'RCG Material Props.'!$BB$9:$BB$15</c:f>
              <c:numCache>
                <c:formatCode>General</c:formatCode>
                <c:ptCount val="7"/>
              </c:numCache>
            </c:numRef>
          </c:xVal>
          <c:yVal>
            <c:numRef>
              <c:f>'RCG Material Props.'!$BE$9:$BE$15</c:f>
              <c:numCache>
                <c:formatCode>0.00</c:formatCode>
                <c:ptCount val="7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914376"/>
        <c:axId val="432914768"/>
      </c:scatterChart>
      <c:valAx>
        <c:axId val="432914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914768"/>
        <c:crosses val="autoZero"/>
        <c:crossBetween val="midCat"/>
      </c:valAx>
      <c:valAx>
        <c:axId val="43291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914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solidFill>
                <a:srgbClr val="00206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solidFill>
                  <a:srgbClr val="002060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'6x6 HACH vs. ADV'!$P$67:$P$69</c:f>
              <c:strCache>
                <c:ptCount val="3"/>
                <c:pt idx="0">
                  <c:v>HACH (8.5-ft C.S.)</c:v>
                </c:pt>
                <c:pt idx="1">
                  <c:v>ADV (7.5-ft C.S.)</c:v>
                </c:pt>
                <c:pt idx="2">
                  <c:v>ADV (8.5-ft C.S.)</c:v>
                </c:pt>
              </c:strCache>
            </c:strRef>
          </c:cat>
          <c:val>
            <c:numRef>
              <c:f>'6x6 HACH vs. ADV'!$Q$67:$Q$69</c:f>
              <c:numCache>
                <c:formatCode>0.00</c:formatCode>
                <c:ptCount val="3"/>
                <c:pt idx="0">
                  <c:v>-0.86899806901656906</c:v>
                </c:pt>
                <c:pt idx="1">
                  <c:v>-0.21061221956742635</c:v>
                </c:pt>
                <c:pt idx="2">
                  <c:v>-2.7434955280284886E-2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2916336"/>
        <c:axId val="432916728"/>
      </c:barChart>
      <c:catAx>
        <c:axId val="432916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Data Collection Method / D.S.</a:t>
                </a:r>
                <a:r>
                  <a:rPr lang="en-US" sz="1100" b="1" baseline="0">
                    <a:solidFill>
                      <a:sysClr val="windowText" lastClr="000000"/>
                    </a:solidFill>
                  </a:rPr>
                  <a:t> Cross Section Location</a:t>
                </a:r>
                <a:endParaRPr lang="en-US" sz="1100" b="1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916728"/>
        <c:crosses val="autoZero"/>
        <c:auto val="1"/>
        <c:lblAlgn val="ctr"/>
        <c:lblOffset val="100"/>
        <c:noMultiLvlLbl val="0"/>
      </c:catAx>
      <c:valAx>
        <c:axId val="43291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</a:rPr>
                  <a:t>C</a:t>
                </a:r>
                <a:r>
                  <a:rPr lang="en-US" sz="1400" b="1" baseline="-25000">
                    <a:solidFill>
                      <a:sysClr val="windowText" lastClr="000000"/>
                    </a:solidFill>
                  </a:rPr>
                  <a:t>D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45814049285505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916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RESULTS!$C$15</c:f>
              <c:strCache>
                <c:ptCount val="1"/>
                <c:pt idx="0">
                  <c:v>Depth ≈ 6 in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RESULTS!$D$4:$F$4</c:f>
              <c:strCache>
                <c:ptCount val="3"/>
                <c:pt idx="0">
                  <c:v>6 x 6"</c:v>
                </c:pt>
                <c:pt idx="1">
                  <c:v>9 x 6"</c:v>
                </c:pt>
                <c:pt idx="2">
                  <c:v>12 x 6"</c:v>
                </c:pt>
              </c:strCache>
            </c:strRef>
          </c:cat>
          <c:val>
            <c:numRef>
              <c:f>RESULTS!$D$5:$F$5</c:f>
              <c:numCache>
                <c:formatCode>0.00</c:formatCode>
                <c:ptCount val="3"/>
                <c:pt idx="0">
                  <c:v>0.25530328857105994</c:v>
                </c:pt>
                <c:pt idx="1">
                  <c:v>0.17625104480600134</c:v>
                </c:pt>
                <c:pt idx="2">
                  <c:v>0.32441311346912677</c:v>
                </c:pt>
              </c:numCache>
            </c:numRef>
          </c:val>
        </c:ser>
        <c:ser>
          <c:idx val="1"/>
          <c:order val="1"/>
          <c:tx>
            <c:strRef>
              <c:f>RESULTS!$C$16</c:f>
              <c:strCache>
                <c:ptCount val="1"/>
                <c:pt idx="0">
                  <c:v>Depth ≈ 8.5 in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RESULTS!$D$4:$F$4</c:f>
              <c:strCache>
                <c:ptCount val="3"/>
                <c:pt idx="0">
                  <c:v>6 x 6"</c:v>
                </c:pt>
                <c:pt idx="1">
                  <c:v>9 x 6"</c:v>
                </c:pt>
                <c:pt idx="2">
                  <c:v>12 x 6"</c:v>
                </c:pt>
              </c:strCache>
            </c:strRef>
          </c:cat>
          <c:val>
            <c:numRef>
              <c:f>RESULTS!$D$6:$F$6</c:f>
              <c:numCache>
                <c:formatCode>0.00</c:formatCode>
                <c:ptCount val="3"/>
                <c:pt idx="0">
                  <c:v>0.464235492846714</c:v>
                </c:pt>
                <c:pt idx="1">
                  <c:v>-0.45624060174742576</c:v>
                </c:pt>
              </c:numCache>
            </c:numRef>
          </c:val>
        </c:ser>
        <c:ser>
          <c:idx val="2"/>
          <c:order val="2"/>
          <c:tx>
            <c:strRef>
              <c:f>RESULTS!$C$17</c:f>
              <c:strCache>
                <c:ptCount val="1"/>
                <c:pt idx="0">
                  <c:v>Depth ≈ 14 in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RESULTS!$D$4:$F$4</c:f>
              <c:strCache>
                <c:ptCount val="3"/>
                <c:pt idx="0">
                  <c:v>6 x 6"</c:v>
                </c:pt>
                <c:pt idx="1">
                  <c:v>9 x 6"</c:v>
                </c:pt>
                <c:pt idx="2">
                  <c:v>12 x 6"</c:v>
                </c:pt>
              </c:strCache>
            </c:strRef>
          </c:cat>
          <c:val>
            <c:numRef>
              <c:f>RESULTS!$D$7:$F$7</c:f>
              <c:numCache>
                <c:formatCode>0.00</c:formatCode>
                <c:ptCount val="3"/>
                <c:pt idx="0">
                  <c:v>0.73874616361465673</c:v>
                </c:pt>
                <c:pt idx="1">
                  <c:v>-0.13709215029295391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433691496"/>
        <c:axId val="433691888"/>
      </c:barChart>
      <c:catAx>
        <c:axId val="433691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</a:rPr>
                  <a:t>Vegetation Patch Size</a:t>
                </a:r>
              </a:p>
            </c:rich>
          </c:tx>
          <c:layout>
            <c:manualLayout>
              <c:xMode val="edge"/>
              <c:yMode val="edge"/>
              <c:x val="0.39529965004374451"/>
              <c:y val="0.894566210045662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691888"/>
        <c:crosses val="autoZero"/>
        <c:auto val="1"/>
        <c:lblAlgn val="ctr"/>
        <c:lblOffset val="100"/>
        <c:noMultiLvlLbl val="0"/>
      </c:catAx>
      <c:valAx>
        <c:axId val="433691888"/>
        <c:scaling>
          <c:orientation val="minMax"/>
          <c:max val="1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C</a:t>
                </a:r>
                <a:r>
                  <a:rPr lang="en-US" sz="1600" b="1" baseline="-25000">
                    <a:solidFill>
                      <a:sysClr val="windowText" lastClr="000000"/>
                    </a:solidFill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69149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5333552055993006E-2"/>
          <c:y val="2.7397260273972601E-2"/>
          <c:w val="0.95155489938757654"/>
          <c:h val="7.7055333836695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RESULTS!$C$15</c:f>
              <c:strCache>
                <c:ptCount val="1"/>
                <c:pt idx="0">
                  <c:v>Depth ≈ 6 in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RESULTS!$D$4:$F$4</c:f>
              <c:strCache>
                <c:ptCount val="3"/>
                <c:pt idx="0">
                  <c:v>6 x 6"</c:v>
                </c:pt>
                <c:pt idx="1">
                  <c:v>9 x 6"</c:v>
                </c:pt>
                <c:pt idx="2">
                  <c:v>12 x 6"</c:v>
                </c:pt>
              </c:strCache>
            </c:strRef>
          </c:cat>
          <c:val>
            <c:numRef>
              <c:f>(RESULTS!$D$5,RESULTS!$E$9,RESULTS!$F$9)</c:f>
              <c:numCache>
                <c:formatCode>0.00</c:formatCode>
                <c:ptCount val="3"/>
                <c:pt idx="0">
                  <c:v>0.25530328857105994</c:v>
                </c:pt>
                <c:pt idx="1">
                  <c:v>0.3167610327713164</c:v>
                </c:pt>
                <c:pt idx="2">
                  <c:v>0.37622173823555272</c:v>
                </c:pt>
              </c:numCache>
            </c:numRef>
          </c:val>
        </c:ser>
        <c:ser>
          <c:idx val="1"/>
          <c:order val="1"/>
          <c:tx>
            <c:strRef>
              <c:f>RESULTS!$C$16</c:f>
              <c:strCache>
                <c:ptCount val="1"/>
                <c:pt idx="0">
                  <c:v>Depth ≈ 8.5 in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RESULTS!$D$4:$F$4</c:f>
              <c:strCache>
                <c:ptCount val="3"/>
                <c:pt idx="0">
                  <c:v>6 x 6"</c:v>
                </c:pt>
                <c:pt idx="1">
                  <c:v>9 x 6"</c:v>
                </c:pt>
                <c:pt idx="2">
                  <c:v>12 x 6"</c:v>
                </c:pt>
              </c:strCache>
            </c:strRef>
          </c:cat>
          <c:val>
            <c:numRef>
              <c:f>(RESULTS!$D$6,RESULTS!$E$10)</c:f>
              <c:numCache>
                <c:formatCode>0.00</c:formatCode>
                <c:ptCount val="2"/>
                <c:pt idx="0">
                  <c:v>0.464235492846714</c:v>
                </c:pt>
                <c:pt idx="1">
                  <c:v>0.38020050145618933</c:v>
                </c:pt>
              </c:numCache>
            </c:numRef>
          </c:val>
        </c:ser>
        <c:ser>
          <c:idx val="2"/>
          <c:order val="2"/>
          <c:tx>
            <c:strRef>
              <c:f>RESULTS!$C$17</c:f>
              <c:strCache>
                <c:ptCount val="1"/>
                <c:pt idx="0">
                  <c:v>Depth ≈ 14 in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RESULTS!$D$4:$F$4</c:f>
              <c:strCache>
                <c:ptCount val="3"/>
                <c:pt idx="0">
                  <c:v>6 x 6"</c:v>
                </c:pt>
                <c:pt idx="1">
                  <c:v>9 x 6"</c:v>
                </c:pt>
                <c:pt idx="2">
                  <c:v>12 x 6"</c:v>
                </c:pt>
              </c:strCache>
            </c:strRef>
          </c:cat>
          <c:val>
            <c:numRef>
              <c:f>(RESULTS!$D$7,RESULTS!$E$11)</c:f>
              <c:numCache>
                <c:formatCode>0.00</c:formatCode>
                <c:ptCount val="2"/>
                <c:pt idx="0">
                  <c:v>0.73874616361465673</c:v>
                </c:pt>
                <c:pt idx="1">
                  <c:v>0.81620119032478811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433693064"/>
        <c:axId val="433693456"/>
      </c:barChart>
      <c:catAx>
        <c:axId val="4336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</a:rPr>
                  <a:t>Vegetation Patch Size</a:t>
                </a:r>
              </a:p>
            </c:rich>
          </c:tx>
          <c:layout>
            <c:manualLayout>
              <c:xMode val="edge"/>
              <c:yMode val="edge"/>
              <c:x val="0.39529965004374451"/>
              <c:y val="0.894566210045662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693456"/>
        <c:crosses val="autoZero"/>
        <c:auto val="1"/>
        <c:lblAlgn val="ctr"/>
        <c:lblOffset val="100"/>
        <c:noMultiLvlLbl val="0"/>
      </c:catAx>
      <c:valAx>
        <c:axId val="433693456"/>
        <c:scaling>
          <c:orientation val="minMax"/>
          <c:max val="1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C</a:t>
                </a:r>
                <a:r>
                  <a:rPr lang="en-US" sz="1600" b="1" baseline="-25000">
                    <a:solidFill>
                      <a:sysClr val="windowText" lastClr="000000"/>
                    </a:solidFill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69306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5333552055993006E-2"/>
          <c:y val="2.7397260273972601E-2"/>
          <c:w val="0.95155489938757654"/>
          <c:h val="7.7055333836695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C.S. 2.5 ft D.S.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'FULLY DEVELOP'!$H$20:$H$26</c:f>
              <c:numCache>
                <c:formatCode>0.00</c:formatCode>
                <c:ptCount val="7"/>
                <c:pt idx="0">
                  <c:v>0.6889763779527559</c:v>
                </c:pt>
                <c:pt idx="1">
                  <c:v>0.62335958005249348</c:v>
                </c:pt>
                <c:pt idx="2">
                  <c:v>0.49212598425196852</c:v>
                </c:pt>
                <c:pt idx="3">
                  <c:v>0.49212598425196852</c:v>
                </c:pt>
                <c:pt idx="4">
                  <c:v>0.52493438320209973</c:v>
                </c:pt>
                <c:pt idx="5">
                  <c:v>0.59055118110236215</c:v>
                </c:pt>
                <c:pt idx="6">
                  <c:v>0.65616797900262469</c:v>
                </c:pt>
              </c:numCache>
            </c:numRef>
          </c:xVal>
          <c:yVal>
            <c:numRef>
              <c:f>'FULLY DEVELOP'!$F$20:$F$26</c:f>
              <c:numCache>
                <c:formatCode>0.0</c:formatCode>
                <c:ptCount val="7"/>
                <c:pt idx="0">
                  <c:v>-7.8740157480314963</c:v>
                </c:pt>
                <c:pt idx="1">
                  <c:v>-7.0866141732283463</c:v>
                </c:pt>
                <c:pt idx="2">
                  <c:v>-5.9055118110236222</c:v>
                </c:pt>
                <c:pt idx="3">
                  <c:v>-4.7244094488188972</c:v>
                </c:pt>
                <c:pt idx="4">
                  <c:v>-3.9370078740157481</c:v>
                </c:pt>
                <c:pt idx="5">
                  <c:v>-2.7559055118110241</c:v>
                </c:pt>
                <c:pt idx="6">
                  <c:v>-1.5748031496062993</c:v>
                </c:pt>
              </c:numCache>
            </c:numRef>
          </c:yVal>
          <c:smooth val="0"/>
        </c:ser>
        <c:ser>
          <c:idx val="1"/>
          <c:order val="1"/>
          <c:tx>
            <c:v>C.S. 4 ft D.S.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'FULLY DEVELOP'!$H$27:$H$33</c:f>
              <c:numCache>
                <c:formatCode>0.00</c:formatCode>
                <c:ptCount val="7"/>
                <c:pt idx="0">
                  <c:v>0.65616797900262469</c:v>
                </c:pt>
                <c:pt idx="1">
                  <c:v>0.65616797900262469</c:v>
                </c:pt>
                <c:pt idx="2">
                  <c:v>0.59055118110236215</c:v>
                </c:pt>
                <c:pt idx="3">
                  <c:v>0.52493438320209973</c:v>
                </c:pt>
                <c:pt idx="4">
                  <c:v>0.55774278215223105</c:v>
                </c:pt>
                <c:pt idx="5">
                  <c:v>0.62335958005249348</c:v>
                </c:pt>
                <c:pt idx="6">
                  <c:v>0.62335958005249348</c:v>
                </c:pt>
              </c:numCache>
              <c:extLst xmlns:c15="http://schemas.microsoft.com/office/drawing/2012/chart"/>
            </c:numRef>
          </c:xVal>
          <c:yVal>
            <c:numRef>
              <c:f>'FULLY DEVELOP'!$F$27:$F$33</c:f>
              <c:numCache>
                <c:formatCode>0.0</c:formatCode>
                <c:ptCount val="7"/>
                <c:pt idx="0">
                  <c:v>-7.8740157480314963</c:v>
                </c:pt>
                <c:pt idx="1">
                  <c:v>-7.0866141732283463</c:v>
                </c:pt>
                <c:pt idx="2">
                  <c:v>-5.9055118110236222</c:v>
                </c:pt>
                <c:pt idx="3">
                  <c:v>-4.7244094488188972</c:v>
                </c:pt>
                <c:pt idx="4">
                  <c:v>-3.9370078740157481</c:v>
                </c:pt>
                <c:pt idx="5">
                  <c:v>-2.7559055118110241</c:v>
                </c:pt>
                <c:pt idx="6">
                  <c:v>-1.5748031496062993</c:v>
                </c:pt>
              </c:numCache>
              <c:extLst xmlns:c15="http://schemas.microsoft.com/office/drawing/2012/chart"/>
            </c:numRef>
          </c:yVal>
          <c:smooth val="0"/>
        </c:ser>
        <c:ser>
          <c:idx val="2"/>
          <c:order val="2"/>
          <c:tx>
            <c:v>C.S. 5 ft D.S.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'FULLY DEVELOP'!$H$34:$H$40</c:f>
              <c:numCache>
                <c:formatCode>0.00</c:formatCode>
                <c:ptCount val="7"/>
                <c:pt idx="0">
                  <c:v>0.62335958005249348</c:v>
                </c:pt>
                <c:pt idx="1">
                  <c:v>0.62335958005249348</c:v>
                </c:pt>
                <c:pt idx="2">
                  <c:v>0.59055118110236215</c:v>
                </c:pt>
                <c:pt idx="3">
                  <c:v>0.59055118110236215</c:v>
                </c:pt>
                <c:pt idx="4">
                  <c:v>0.62335958005249348</c:v>
                </c:pt>
                <c:pt idx="5">
                  <c:v>0.65616797900262469</c:v>
                </c:pt>
                <c:pt idx="6">
                  <c:v>0.65616797900262469</c:v>
                </c:pt>
              </c:numCache>
              <c:extLst xmlns:c15="http://schemas.microsoft.com/office/drawing/2012/chart"/>
            </c:numRef>
          </c:xVal>
          <c:yVal>
            <c:numRef>
              <c:f>'FULLY DEVELOP'!$F$34:$F$40</c:f>
              <c:numCache>
                <c:formatCode>0.0</c:formatCode>
                <c:ptCount val="7"/>
                <c:pt idx="0">
                  <c:v>-7.8740157480314963</c:v>
                </c:pt>
                <c:pt idx="1">
                  <c:v>-7.0866141732283463</c:v>
                </c:pt>
                <c:pt idx="2">
                  <c:v>-5.9055118110236222</c:v>
                </c:pt>
                <c:pt idx="3">
                  <c:v>-4.7244094488188972</c:v>
                </c:pt>
                <c:pt idx="4">
                  <c:v>-3.9370078740157481</c:v>
                </c:pt>
                <c:pt idx="5">
                  <c:v>-2.7559055118110241</c:v>
                </c:pt>
                <c:pt idx="6">
                  <c:v>-1.5748031496062993</c:v>
                </c:pt>
              </c:numCache>
              <c:extLst xmlns:c15="http://schemas.microsoft.com/office/drawing/2012/chart"/>
            </c:numRef>
          </c:yVal>
          <c:smooth val="0"/>
        </c:ser>
        <c:ser>
          <c:idx val="3"/>
          <c:order val="3"/>
          <c:tx>
            <c:v>C.S. 7 ft D.S.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'FULLY DEVELOP'!$H$41:$H$47</c:f>
              <c:numCache>
                <c:formatCode>0.00</c:formatCode>
                <c:ptCount val="7"/>
                <c:pt idx="0">
                  <c:v>0.55774278215223105</c:v>
                </c:pt>
                <c:pt idx="1">
                  <c:v>0.55774278215223105</c:v>
                </c:pt>
                <c:pt idx="2">
                  <c:v>0.59055118110236215</c:v>
                </c:pt>
                <c:pt idx="3">
                  <c:v>0.59055118110236215</c:v>
                </c:pt>
                <c:pt idx="4">
                  <c:v>0.62335958005249348</c:v>
                </c:pt>
                <c:pt idx="5">
                  <c:v>0.65616797900262469</c:v>
                </c:pt>
                <c:pt idx="6">
                  <c:v>0.62335958005249348</c:v>
                </c:pt>
              </c:numCache>
              <c:extLst xmlns:c15="http://schemas.microsoft.com/office/drawing/2012/chart"/>
            </c:numRef>
          </c:xVal>
          <c:yVal>
            <c:numRef>
              <c:f>'FULLY DEVELOP'!$F$41:$F$47</c:f>
              <c:numCache>
                <c:formatCode>0.0</c:formatCode>
                <c:ptCount val="7"/>
                <c:pt idx="0">
                  <c:v>-7.8740157480314963</c:v>
                </c:pt>
                <c:pt idx="1">
                  <c:v>-7.0866141732283463</c:v>
                </c:pt>
                <c:pt idx="2">
                  <c:v>-5.9055118110236222</c:v>
                </c:pt>
                <c:pt idx="3">
                  <c:v>-4.7244094488188972</c:v>
                </c:pt>
                <c:pt idx="4">
                  <c:v>-3.9370078740157481</c:v>
                </c:pt>
                <c:pt idx="5">
                  <c:v>-2.7559055118110241</c:v>
                </c:pt>
                <c:pt idx="6">
                  <c:v>-1.5748031496062993</c:v>
                </c:pt>
              </c:numCache>
              <c:extLst xmlns:c15="http://schemas.microsoft.com/office/drawing/2012/chart"/>
            </c:numRef>
          </c:yVal>
          <c:smooth val="0"/>
        </c:ser>
        <c:ser>
          <c:idx val="4"/>
          <c:order val="4"/>
          <c:tx>
            <c:v>C.S. 8.5 ft D.S.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'FULLY DEVELOP'!$H$48:$H$54</c:f>
              <c:numCache>
                <c:formatCode>0.00</c:formatCode>
                <c:ptCount val="7"/>
                <c:pt idx="0">
                  <c:v>0.52493438320209973</c:v>
                </c:pt>
                <c:pt idx="1">
                  <c:v>0.55774278215223105</c:v>
                </c:pt>
                <c:pt idx="2">
                  <c:v>0.59055118110236215</c:v>
                </c:pt>
                <c:pt idx="3">
                  <c:v>0.59055118110236215</c:v>
                </c:pt>
                <c:pt idx="4">
                  <c:v>0.62335958005249348</c:v>
                </c:pt>
                <c:pt idx="5">
                  <c:v>0.62335958005249348</c:v>
                </c:pt>
                <c:pt idx="6">
                  <c:v>0.62335958005249348</c:v>
                </c:pt>
              </c:numCache>
              <c:extLst xmlns:c15="http://schemas.microsoft.com/office/drawing/2012/chart"/>
            </c:numRef>
          </c:xVal>
          <c:yVal>
            <c:numRef>
              <c:f>'FULLY DEVELOP'!$F$48:$F$54</c:f>
              <c:numCache>
                <c:formatCode>0.0</c:formatCode>
                <c:ptCount val="7"/>
                <c:pt idx="0">
                  <c:v>-7.8740157480314963</c:v>
                </c:pt>
                <c:pt idx="1">
                  <c:v>-7.0866141732283463</c:v>
                </c:pt>
                <c:pt idx="2">
                  <c:v>-5.9055118110236222</c:v>
                </c:pt>
                <c:pt idx="3">
                  <c:v>-4.7244094488188972</c:v>
                </c:pt>
                <c:pt idx="4">
                  <c:v>-3.9370078740157481</c:v>
                </c:pt>
                <c:pt idx="5">
                  <c:v>-2.7559055118110241</c:v>
                </c:pt>
                <c:pt idx="6">
                  <c:v>-1.5748031496062993</c:v>
                </c:pt>
              </c:numCache>
              <c:extLst xmlns:c15="http://schemas.microsoft.com/office/drawing/2012/chart"/>
            </c:numRef>
          </c:yVal>
          <c:smooth val="0"/>
        </c:ser>
        <c:ser>
          <c:idx val="5"/>
          <c:order val="5"/>
          <c:tx>
            <c:v>Logarithmic</c:v>
          </c:tx>
          <c:spPr>
            <a:ln w="2540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'FULLY DEVELOP'!$U$20:$U$28</c:f>
              <c:numCache>
                <c:formatCode>General</c:formatCode>
                <c:ptCount val="9"/>
              </c:numCache>
            </c:numRef>
          </c:xVal>
          <c:yVal>
            <c:numRef>
              <c:f>'FULLY DEVELOP'!$S$20:$S$28</c:f>
              <c:numCache>
                <c:formatCode>General</c:formatCode>
                <c:ptCount val="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759432"/>
        <c:axId val="431759824"/>
        <c:extLst/>
      </c:scatterChart>
      <c:valAx>
        <c:axId val="43175943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V (ft/s)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59824"/>
        <c:crosses val="autoZero"/>
        <c:crossBetween val="midCat"/>
      </c:valAx>
      <c:valAx>
        <c:axId val="431759824"/>
        <c:scaling>
          <c:orientation val="minMax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Depth (in)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30511358493981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59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352425</xdr:colOff>
      <xdr:row>9</xdr:row>
      <xdr:rowOff>80962</xdr:rowOff>
    </xdr:from>
    <xdr:ext cx="1725024" cy="4377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4916150" y="938212"/>
              <a:ext cx="1725024" cy="437749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solidFill>
                <a:srgbClr val="00206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1" i="1">
                        <a:latin typeface="Cambria Math" panose="02040503050406030204" pitchFamily="18" charset="0"/>
                      </a:rPr>
                      <m:t>𝑱</m:t>
                    </m:r>
                    <m:r>
                      <a:rPr lang="en-US" sz="14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400" b="1" i="1">
                        <a:latin typeface="Cambria Math" panose="02040503050406030204" pitchFamily="18" charset="0"/>
                      </a:rPr>
                      <m:t>𝑬𝑰</m:t>
                    </m:r>
                    <m:r>
                      <a:rPr lang="en-US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400" b="1" i="1">
                            <a:latin typeface="Cambria Math" panose="02040503050406030204" pitchFamily="18" charset="0"/>
                          </a:rPr>
                          <m:t>𝑭</m:t>
                        </m:r>
                      </m:num>
                      <m:den>
                        <m:r>
                          <a:rPr lang="en-US" sz="1400" b="1" i="1">
                            <a:latin typeface="Cambria Math" panose="02040503050406030204" pitchFamily="18" charset="0"/>
                          </a:rPr>
                          <m:t>𝒘</m:t>
                        </m:r>
                      </m:den>
                    </m:f>
                    <m:f>
                      <m:fPr>
                        <m:ctrlPr>
                          <a:rPr lang="en-US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4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400" b="1" i="1">
                                <a:latin typeface="Cambria Math" panose="02040503050406030204" pitchFamily="18" charset="0"/>
                              </a:rPr>
                              <m:t>𝑳</m:t>
                            </m:r>
                          </m:e>
                          <m:sup>
                            <m:r>
                              <a:rPr lang="en-US" sz="1400" b="1" i="1">
                                <a:latin typeface="Cambria Math" panose="02040503050406030204" pitchFamily="18" charset="0"/>
                              </a:rPr>
                              <m:t>𝟑</m:t>
                            </m:r>
                          </m:sup>
                        </m:sSup>
                      </m:num>
                      <m:den>
                        <m:r>
                          <a:rPr lang="en-US" sz="1400" b="1" i="1">
                            <a:latin typeface="Cambria Math" panose="02040503050406030204" pitchFamily="18" charset="0"/>
                          </a:rPr>
                          <m:t>𝟑</m:t>
                        </m:r>
                      </m:den>
                    </m:f>
                    <m:r>
                      <a:rPr lang="en-US" sz="1400" b="1" i="1">
                        <a:latin typeface="Cambria Math" panose="02040503050406030204" pitchFamily="18" charset="0"/>
                      </a:rPr>
                      <m:t> </m:t>
                    </m:r>
                    <m:d>
                      <m:dPr>
                        <m:begChr m:val="["/>
                        <m:endChr m:val="]"/>
                        <m:ctrlPr>
                          <a:rPr lang="en-US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400" b="1" i="1">
                            <a:latin typeface="Cambria Math" panose="02040503050406030204" pitchFamily="18" charset="0"/>
                          </a:rPr>
                          <m:t>𝑵</m:t>
                        </m:r>
                        <m:sSup>
                          <m:sSupPr>
                            <m:ctrlPr>
                              <a:rPr lang="en-US" sz="14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400" b="1" i="1">
                                <a:latin typeface="Cambria Math" panose="02040503050406030204" pitchFamily="18" charset="0"/>
                              </a:rPr>
                              <m:t>𝒎</m:t>
                            </m:r>
                          </m:e>
                          <m:sup>
                            <m:r>
                              <a:rPr lang="en-US" sz="14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e>
                    </m:d>
                  </m:oMath>
                </m:oMathPara>
              </a14:m>
              <a:endParaRPr lang="en-US" sz="1400" b="1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4916150" y="938212"/>
              <a:ext cx="1725024" cy="437749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solidFill>
                <a:srgbClr val="00206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b="1" i="0">
                  <a:latin typeface="Cambria Math" panose="02040503050406030204" pitchFamily="18" charset="0"/>
                </a:rPr>
                <a:t>𝑱=𝑬𝑰=𝑭/𝒘  𝑳^𝟑/𝟑  [𝑵𝒎^𝟐 ]</a:t>
              </a:r>
              <a:endParaRPr lang="en-US" sz="1400" b="1"/>
            </a:p>
          </xdr:txBody>
        </xdr:sp>
      </mc:Fallback>
    </mc:AlternateContent>
    <xdr:clientData/>
  </xdr:oneCellAnchor>
  <xdr:oneCellAnchor>
    <xdr:from>
      <xdr:col>20</xdr:col>
      <xdr:colOff>342900</xdr:colOff>
      <xdr:row>7</xdr:row>
      <xdr:rowOff>185737</xdr:rowOff>
    </xdr:from>
    <xdr:ext cx="1907702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4906625" y="661987"/>
              <a:ext cx="1907702" cy="219163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solidFill>
                <a:srgbClr val="00206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1" i="1">
                        <a:latin typeface="Cambria Math" panose="02040503050406030204" pitchFamily="18" charset="0"/>
                      </a:rPr>
                      <m:t>𝑱</m:t>
                    </m:r>
                    <m:r>
                      <a:rPr lang="en-US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≡</m:t>
                    </m:r>
                    <m:r>
                      <a:rPr lang="en-US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𝑭𝒍𝒆𝒙𝒖𝒓𝒂𝒍</m:t>
                    </m:r>
                    <m:r>
                      <a:rPr lang="en-US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𝑹𝒊𝒈𝒊𝒅𝒊𝒕𝒚</m:t>
                    </m:r>
                  </m:oMath>
                </m:oMathPara>
              </a14:m>
              <a:endParaRPr lang="en-US" sz="1400" b="1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4906625" y="661987"/>
              <a:ext cx="1907702" cy="219163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solidFill>
                <a:srgbClr val="00206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b="1" i="0">
                  <a:latin typeface="Cambria Math" panose="02040503050406030204" pitchFamily="18" charset="0"/>
                </a:rPr>
                <a:t>𝑱</a:t>
              </a:r>
              <a:r>
                <a:rPr lang="en-US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≡𝑭𝒍𝒆𝒙𝒖𝒓𝒂𝒍 𝑹𝒊𝒈𝒊𝒅𝒊𝒕𝒚</a:t>
              </a:r>
              <a:endParaRPr lang="en-US" sz="1400" b="1"/>
            </a:p>
          </xdr:txBody>
        </xdr:sp>
      </mc:Fallback>
    </mc:AlternateContent>
    <xdr:clientData/>
  </xdr:oneCellAnchor>
  <xdr:oneCellAnchor>
    <xdr:from>
      <xdr:col>20</xdr:col>
      <xdr:colOff>342900</xdr:colOff>
      <xdr:row>11</xdr:row>
      <xdr:rowOff>185737</xdr:rowOff>
    </xdr:from>
    <xdr:ext cx="2431756" cy="4090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14906625" y="1423987"/>
              <a:ext cx="2431756" cy="409086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solidFill>
                <a:srgbClr val="00206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400" b="1" i="1">
                            <a:latin typeface="Cambria Math" panose="02040503050406030204" pitchFamily="18" charset="0"/>
                          </a:rPr>
                          <m:t>𝑭</m:t>
                        </m:r>
                      </m:num>
                      <m:den>
                        <m:r>
                          <a:rPr lang="en-US" sz="1400" b="1" i="1">
                            <a:latin typeface="Cambria Math" panose="02040503050406030204" pitchFamily="18" charset="0"/>
                          </a:rPr>
                          <m:t>𝒘</m:t>
                        </m:r>
                      </m:den>
                    </m:f>
                    <m:r>
                      <a:rPr lang="en-US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≡</m:t>
                    </m:r>
                    <m:r>
                      <a:rPr lang="en-US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𝑩𝒆𝒏𝒅𝒊𝒏𝒈</m:t>
                    </m:r>
                    <m:r>
                      <a:rPr lang="en-US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𝑺𝒕𝒊𝒇𝒇𝒏𝒆𝒔𝒔</m:t>
                    </m:r>
                    <m:r>
                      <a:rPr lang="en-US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d>
                      <m:dPr>
                        <m:begChr m:val="["/>
                        <m:endChr m:val="]"/>
                        <m:ctrlPr>
                          <a:rPr lang="en-US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4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4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𝑵</m:t>
                            </m:r>
                          </m:num>
                          <m:den>
                            <m:r>
                              <a:rPr lang="en-US" sz="14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𝒎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US" sz="1400" b="1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14906625" y="1423987"/>
              <a:ext cx="2431756" cy="409086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solidFill>
                <a:srgbClr val="00206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b="1" i="0">
                  <a:latin typeface="Cambria Math" panose="02040503050406030204" pitchFamily="18" charset="0"/>
                </a:rPr>
                <a:t>𝑭/𝒘</a:t>
              </a:r>
              <a:r>
                <a:rPr lang="en-US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≡𝑩𝒆𝒏𝒅𝒊𝒏𝒈 𝑺𝒕𝒊𝒇𝒇𝒏𝒆𝒔𝒔 [𝑵/𝒎]</a:t>
              </a:r>
              <a:endParaRPr lang="en-US" sz="1400" b="1"/>
            </a:p>
          </xdr:txBody>
        </xdr:sp>
      </mc:Fallback>
    </mc:AlternateContent>
    <xdr:clientData/>
  </xdr:oneCellAnchor>
  <xdr:oneCellAnchor>
    <xdr:from>
      <xdr:col>8</xdr:col>
      <xdr:colOff>485775</xdr:colOff>
      <xdr:row>13</xdr:row>
      <xdr:rowOff>90487</xdr:rowOff>
    </xdr:from>
    <xdr:ext cx="65" cy="172227"/>
    <xdr:sp macro="" textlink="">
      <xdr:nvSpPr>
        <xdr:cNvPr id="5" name="TextBox 4"/>
        <xdr:cNvSpPr txBox="1"/>
      </xdr:nvSpPr>
      <xdr:spPr>
        <a:xfrm>
          <a:off x="5943600" y="17097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13</xdr:row>
      <xdr:rowOff>90487</xdr:rowOff>
    </xdr:from>
    <xdr:ext cx="65" cy="172227"/>
    <xdr:sp macro="" textlink="">
      <xdr:nvSpPr>
        <xdr:cNvPr id="6" name="TextBox 5"/>
        <xdr:cNvSpPr txBox="1"/>
      </xdr:nvSpPr>
      <xdr:spPr>
        <a:xfrm>
          <a:off x="5943600" y="17097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342900</xdr:colOff>
      <xdr:row>6</xdr:row>
      <xdr:rowOff>90487</xdr:rowOff>
    </xdr:from>
    <xdr:ext cx="3554691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14906625" y="328612"/>
              <a:ext cx="3554691" cy="219163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solidFill>
                <a:srgbClr val="00206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1" i="1">
                        <a:latin typeface="Cambria Math" panose="02040503050406030204" pitchFamily="18" charset="0"/>
                      </a:rPr>
                      <m:t>𝑳</m:t>
                    </m:r>
                    <m:r>
                      <a:rPr lang="en-US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≡</m:t>
                    </m:r>
                    <m:r>
                      <a:rPr lang="en-US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𝒅𝒊𝒔𝒕𝒂𝒏𝒄𝒆</m:t>
                    </m:r>
                    <m:r>
                      <a:rPr lang="en-US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𝒘𝒉𝒆𝒓𝒆</m:t>
                    </m:r>
                    <m:r>
                      <a:rPr lang="en-US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𝒍𝒐𝒂𝒅</m:t>
                    </m:r>
                    <m:r>
                      <a:rPr lang="en-US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𝒄𝒆𝒍𝒍</m:t>
                    </m:r>
                    <m:r>
                      <a:rPr lang="en-US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𝒊𝒔</m:t>
                    </m:r>
                    <m:r>
                      <a:rPr lang="en-US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𝒂𝒕𝒕𝒂𝒄𝒉𝒆𝒅</m:t>
                    </m:r>
                  </m:oMath>
                </m:oMathPara>
              </a14:m>
              <a:endParaRPr lang="en-US" sz="1400" b="1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14906625" y="328612"/>
              <a:ext cx="3554691" cy="219163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solidFill>
                <a:srgbClr val="00206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b="1" i="0">
                  <a:latin typeface="Cambria Math" panose="02040503050406030204" pitchFamily="18" charset="0"/>
                </a:rPr>
                <a:t>𝑳</a:t>
              </a:r>
              <a:r>
                <a:rPr lang="en-US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≡𝒅𝒊𝒔𝒕𝒂𝒏𝒄𝒆 𝒘𝒉𝒆𝒓𝒆 𝒍𝒐𝒂𝒅 𝒄𝒆𝒍𝒍 𝒊𝒔 𝒂𝒕𝒕𝒂𝒄𝒉𝒆𝒅</a:t>
              </a:r>
              <a:endParaRPr lang="en-US" sz="1400" b="1"/>
            </a:p>
          </xdr:txBody>
        </xdr:sp>
      </mc:Fallback>
    </mc:AlternateContent>
    <xdr:clientData/>
  </xdr:oneCellAnchor>
  <xdr:oneCellAnchor>
    <xdr:from>
      <xdr:col>8</xdr:col>
      <xdr:colOff>485775</xdr:colOff>
      <xdr:row>73</xdr:row>
      <xdr:rowOff>90487</xdr:rowOff>
    </xdr:from>
    <xdr:ext cx="65" cy="172227"/>
    <xdr:sp macro="" textlink="">
      <xdr:nvSpPr>
        <xdr:cNvPr id="8" name="TextBox 7"/>
        <xdr:cNvSpPr txBox="1"/>
      </xdr:nvSpPr>
      <xdr:spPr>
        <a:xfrm>
          <a:off x="5943600" y="1334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73</xdr:row>
      <xdr:rowOff>90487</xdr:rowOff>
    </xdr:from>
    <xdr:ext cx="65" cy="172227"/>
    <xdr:sp macro="" textlink="">
      <xdr:nvSpPr>
        <xdr:cNvPr id="9" name="TextBox 8"/>
        <xdr:cNvSpPr txBox="1"/>
      </xdr:nvSpPr>
      <xdr:spPr>
        <a:xfrm>
          <a:off x="5943600" y="1334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133</xdr:row>
      <xdr:rowOff>90487</xdr:rowOff>
    </xdr:from>
    <xdr:ext cx="65" cy="172227"/>
    <xdr:sp macro="" textlink="">
      <xdr:nvSpPr>
        <xdr:cNvPr id="10" name="TextBox 9"/>
        <xdr:cNvSpPr txBox="1"/>
      </xdr:nvSpPr>
      <xdr:spPr>
        <a:xfrm>
          <a:off x="5943600" y="2477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133</xdr:row>
      <xdr:rowOff>90487</xdr:rowOff>
    </xdr:from>
    <xdr:ext cx="65" cy="172227"/>
    <xdr:sp macro="" textlink="">
      <xdr:nvSpPr>
        <xdr:cNvPr id="11" name="TextBox 10"/>
        <xdr:cNvSpPr txBox="1"/>
      </xdr:nvSpPr>
      <xdr:spPr>
        <a:xfrm>
          <a:off x="5943600" y="2477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9</xdr:row>
      <xdr:rowOff>90487</xdr:rowOff>
    </xdr:from>
    <xdr:ext cx="65" cy="172227"/>
    <xdr:sp macro="" textlink="">
      <xdr:nvSpPr>
        <xdr:cNvPr id="12" name="TextBox 11"/>
        <xdr:cNvSpPr txBox="1"/>
      </xdr:nvSpPr>
      <xdr:spPr>
        <a:xfrm>
          <a:off x="5943600" y="9477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9</xdr:row>
      <xdr:rowOff>90487</xdr:rowOff>
    </xdr:from>
    <xdr:ext cx="65" cy="172227"/>
    <xdr:sp macro="" textlink="">
      <xdr:nvSpPr>
        <xdr:cNvPr id="13" name="TextBox 12"/>
        <xdr:cNvSpPr txBox="1"/>
      </xdr:nvSpPr>
      <xdr:spPr>
        <a:xfrm>
          <a:off x="5943600" y="9477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33</xdr:row>
      <xdr:rowOff>90487</xdr:rowOff>
    </xdr:from>
    <xdr:ext cx="65" cy="172227"/>
    <xdr:sp macro="" textlink="">
      <xdr:nvSpPr>
        <xdr:cNvPr id="14" name="TextBox 13"/>
        <xdr:cNvSpPr txBox="1"/>
      </xdr:nvSpPr>
      <xdr:spPr>
        <a:xfrm>
          <a:off x="5943600" y="57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33</xdr:row>
      <xdr:rowOff>90487</xdr:rowOff>
    </xdr:from>
    <xdr:ext cx="65" cy="172227"/>
    <xdr:sp macro="" textlink="">
      <xdr:nvSpPr>
        <xdr:cNvPr id="15" name="TextBox 14"/>
        <xdr:cNvSpPr txBox="1"/>
      </xdr:nvSpPr>
      <xdr:spPr>
        <a:xfrm>
          <a:off x="5943600" y="57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41</xdr:row>
      <xdr:rowOff>90487</xdr:rowOff>
    </xdr:from>
    <xdr:ext cx="65" cy="172227"/>
    <xdr:sp macro="" textlink="">
      <xdr:nvSpPr>
        <xdr:cNvPr id="16" name="TextBox 15"/>
        <xdr:cNvSpPr txBox="1"/>
      </xdr:nvSpPr>
      <xdr:spPr>
        <a:xfrm>
          <a:off x="5943600" y="72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41</xdr:row>
      <xdr:rowOff>90487</xdr:rowOff>
    </xdr:from>
    <xdr:ext cx="65" cy="172227"/>
    <xdr:sp macro="" textlink="">
      <xdr:nvSpPr>
        <xdr:cNvPr id="17" name="TextBox 16"/>
        <xdr:cNvSpPr txBox="1"/>
      </xdr:nvSpPr>
      <xdr:spPr>
        <a:xfrm>
          <a:off x="5943600" y="72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29</xdr:row>
      <xdr:rowOff>90487</xdr:rowOff>
    </xdr:from>
    <xdr:ext cx="65" cy="172227"/>
    <xdr:sp macro="" textlink="">
      <xdr:nvSpPr>
        <xdr:cNvPr id="18" name="TextBox 17"/>
        <xdr:cNvSpPr txBox="1"/>
      </xdr:nvSpPr>
      <xdr:spPr>
        <a:xfrm>
          <a:off x="5943600" y="49291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29</xdr:row>
      <xdr:rowOff>90487</xdr:rowOff>
    </xdr:from>
    <xdr:ext cx="65" cy="172227"/>
    <xdr:sp macro="" textlink="">
      <xdr:nvSpPr>
        <xdr:cNvPr id="19" name="TextBox 18"/>
        <xdr:cNvSpPr txBox="1"/>
      </xdr:nvSpPr>
      <xdr:spPr>
        <a:xfrm>
          <a:off x="5943600" y="49291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37</xdr:row>
      <xdr:rowOff>90487</xdr:rowOff>
    </xdr:from>
    <xdr:ext cx="65" cy="172227"/>
    <xdr:sp macro="" textlink="">
      <xdr:nvSpPr>
        <xdr:cNvPr id="20" name="TextBox 19"/>
        <xdr:cNvSpPr txBox="1"/>
      </xdr:nvSpPr>
      <xdr:spPr>
        <a:xfrm>
          <a:off x="5943600" y="64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37</xdr:row>
      <xdr:rowOff>90487</xdr:rowOff>
    </xdr:from>
    <xdr:ext cx="65" cy="172227"/>
    <xdr:sp macro="" textlink="">
      <xdr:nvSpPr>
        <xdr:cNvPr id="21" name="TextBox 20"/>
        <xdr:cNvSpPr txBox="1"/>
      </xdr:nvSpPr>
      <xdr:spPr>
        <a:xfrm>
          <a:off x="5943600" y="64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49</xdr:row>
      <xdr:rowOff>90487</xdr:rowOff>
    </xdr:from>
    <xdr:ext cx="65" cy="172227"/>
    <xdr:sp macro="" textlink="">
      <xdr:nvSpPr>
        <xdr:cNvPr id="22" name="TextBox 21"/>
        <xdr:cNvSpPr txBox="1"/>
      </xdr:nvSpPr>
      <xdr:spPr>
        <a:xfrm>
          <a:off x="5943600" y="877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49</xdr:row>
      <xdr:rowOff>90487</xdr:rowOff>
    </xdr:from>
    <xdr:ext cx="65" cy="172227"/>
    <xdr:sp macro="" textlink="">
      <xdr:nvSpPr>
        <xdr:cNvPr id="23" name="TextBox 22"/>
        <xdr:cNvSpPr txBox="1"/>
      </xdr:nvSpPr>
      <xdr:spPr>
        <a:xfrm>
          <a:off x="5943600" y="877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73</xdr:row>
      <xdr:rowOff>90487</xdr:rowOff>
    </xdr:from>
    <xdr:ext cx="65" cy="172227"/>
    <xdr:sp macro="" textlink="">
      <xdr:nvSpPr>
        <xdr:cNvPr id="24" name="TextBox 23"/>
        <xdr:cNvSpPr txBox="1"/>
      </xdr:nvSpPr>
      <xdr:spPr>
        <a:xfrm>
          <a:off x="5943600" y="1334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73</xdr:row>
      <xdr:rowOff>90487</xdr:rowOff>
    </xdr:from>
    <xdr:ext cx="65" cy="172227"/>
    <xdr:sp macro="" textlink="">
      <xdr:nvSpPr>
        <xdr:cNvPr id="25" name="TextBox 24"/>
        <xdr:cNvSpPr txBox="1"/>
      </xdr:nvSpPr>
      <xdr:spPr>
        <a:xfrm>
          <a:off x="5943600" y="1334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77</xdr:row>
      <xdr:rowOff>90487</xdr:rowOff>
    </xdr:from>
    <xdr:ext cx="65" cy="172227"/>
    <xdr:sp macro="" textlink="">
      <xdr:nvSpPr>
        <xdr:cNvPr id="26" name="TextBox 25"/>
        <xdr:cNvSpPr txBox="1"/>
      </xdr:nvSpPr>
      <xdr:spPr>
        <a:xfrm>
          <a:off x="5943600" y="1411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77</xdr:row>
      <xdr:rowOff>90487</xdr:rowOff>
    </xdr:from>
    <xdr:ext cx="65" cy="172227"/>
    <xdr:sp macro="" textlink="">
      <xdr:nvSpPr>
        <xdr:cNvPr id="27" name="TextBox 26"/>
        <xdr:cNvSpPr txBox="1"/>
      </xdr:nvSpPr>
      <xdr:spPr>
        <a:xfrm>
          <a:off x="5943600" y="1411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77</xdr:row>
      <xdr:rowOff>90487</xdr:rowOff>
    </xdr:from>
    <xdr:ext cx="65" cy="172227"/>
    <xdr:sp macro="" textlink="">
      <xdr:nvSpPr>
        <xdr:cNvPr id="28" name="TextBox 27"/>
        <xdr:cNvSpPr txBox="1"/>
      </xdr:nvSpPr>
      <xdr:spPr>
        <a:xfrm>
          <a:off x="5943600" y="1411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77</xdr:row>
      <xdr:rowOff>90487</xdr:rowOff>
    </xdr:from>
    <xdr:ext cx="65" cy="172227"/>
    <xdr:sp macro="" textlink="">
      <xdr:nvSpPr>
        <xdr:cNvPr id="29" name="TextBox 28"/>
        <xdr:cNvSpPr txBox="1"/>
      </xdr:nvSpPr>
      <xdr:spPr>
        <a:xfrm>
          <a:off x="5943600" y="1411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77</xdr:row>
      <xdr:rowOff>90487</xdr:rowOff>
    </xdr:from>
    <xdr:ext cx="65" cy="172227"/>
    <xdr:sp macro="" textlink="">
      <xdr:nvSpPr>
        <xdr:cNvPr id="30" name="TextBox 29"/>
        <xdr:cNvSpPr txBox="1"/>
      </xdr:nvSpPr>
      <xdr:spPr>
        <a:xfrm>
          <a:off x="5943600" y="1411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77</xdr:row>
      <xdr:rowOff>90487</xdr:rowOff>
    </xdr:from>
    <xdr:ext cx="65" cy="172227"/>
    <xdr:sp macro="" textlink="">
      <xdr:nvSpPr>
        <xdr:cNvPr id="31" name="TextBox 30"/>
        <xdr:cNvSpPr txBox="1"/>
      </xdr:nvSpPr>
      <xdr:spPr>
        <a:xfrm>
          <a:off x="5943600" y="1411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81</xdr:row>
      <xdr:rowOff>90487</xdr:rowOff>
    </xdr:from>
    <xdr:ext cx="65" cy="172227"/>
    <xdr:sp macro="" textlink="">
      <xdr:nvSpPr>
        <xdr:cNvPr id="32" name="TextBox 31"/>
        <xdr:cNvSpPr txBox="1"/>
      </xdr:nvSpPr>
      <xdr:spPr>
        <a:xfrm>
          <a:off x="5943600" y="1487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81</xdr:row>
      <xdr:rowOff>90487</xdr:rowOff>
    </xdr:from>
    <xdr:ext cx="65" cy="172227"/>
    <xdr:sp macro="" textlink="">
      <xdr:nvSpPr>
        <xdr:cNvPr id="33" name="TextBox 32"/>
        <xdr:cNvSpPr txBox="1"/>
      </xdr:nvSpPr>
      <xdr:spPr>
        <a:xfrm>
          <a:off x="5943600" y="1487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81</xdr:row>
      <xdr:rowOff>90487</xdr:rowOff>
    </xdr:from>
    <xdr:ext cx="65" cy="172227"/>
    <xdr:sp macro="" textlink="">
      <xdr:nvSpPr>
        <xdr:cNvPr id="34" name="TextBox 33"/>
        <xdr:cNvSpPr txBox="1"/>
      </xdr:nvSpPr>
      <xdr:spPr>
        <a:xfrm>
          <a:off x="5943600" y="1487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81</xdr:row>
      <xdr:rowOff>90487</xdr:rowOff>
    </xdr:from>
    <xdr:ext cx="65" cy="172227"/>
    <xdr:sp macro="" textlink="">
      <xdr:nvSpPr>
        <xdr:cNvPr id="35" name="TextBox 34"/>
        <xdr:cNvSpPr txBox="1"/>
      </xdr:nvSpPr>
      <xdr:spPr>
        <a:xfrm>
          <a:off x="5943600" y="1487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81</xdr:row>
      <xdr:rowOff>90487</xdr:rowOff>
    </xdr:from>
    <xdr:ext cx="65" cy="172227"/>
    <xdr:sp macro="" textlink="">
      <xdr:nvSpPr>
        <xdr:cNvPr id="36" name="TextBox 35"/>
        <xdr:cNvSpPr txBox="1"/>
      </xdr:nvSpPr>
      <xdr:spPr>
        <a:xfrm>
          <a:off x="5943600" y="1487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81</xdr:row>
      <xdr:rowOff>90487</xdr:rowOff>
    </xdr:from>
    <xdr:ext cx="65" cy="172227"/>
    <xdr:sp macro="" textlink="">
      <xdr:nvSpPr>
        <xdr:cNvPr id="37" name="TextBox 36"/>
        <xdr:cNvSpPr txBox="1"/>
      </xdr:nvSpPr>
      <xdr:spPr>
        <a:xfrm>
          <a:off x="5943600" y="1487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85</xdr:row>
      <xdr:rowOff>90487</xdr:rowOff>
    </xdr:from>
    <xdr:ext cx="65" cy="172227"/>
    <xdr:sp macro="" textlink="">
      <xdr:nvSpPr>
        <xdr:cNvPr id="38" name="TextBox 37"/>
        <xdr:cNvSpPr txBox="1"/>
      </xdr:nvSpPr>
      <xdr:spPr>
        <a:xfrm>
          <a:off x="5943600" y="1563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85</xdr:row>
      <xdr:rowOff>90487</xdr:rowOff>
    </xdr:from>
    <xdr:ext cx="65" cy="172227"/>
    <xdr:sp macro="" textlink="">
      <xdr:nvSpPr>
        <xdr:cNvPr id="39" name="TextBox 38"/>
        <xdr:cNvSpPr txBox="1"/>
      </xdr:nvSpPr>
      <xdr:spPr>
        <a:xfrm>
          <a:off x="5943600" y="1563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85</xdr:row>
      <xdr:rowOff>90487</xdr:rowOff>
    </xdr:from>
    <xdr:ext cx="65" cy="172227"/>
    <xdr:sp macro="" textlink="">
      <xdr:nvSpPr>
        <xdr:cNvPr id="40" name="TextBox 39"/>
        <xdr:cNvSpPr txBox="1"/>
      </xdr:nvSpPr>
      <xdr:spPr>
        <a:xfrm>
          <a:off x="5943600" y="1563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85</xdr:row>
      <xdr:rowOff>90487</xdr:rowOff>
    </xdr:from>
    <xdr:ext cx="65" cy="172227"/>
    <xdr:sp macro="" textlink="">
      <xdr:nvSpPr>
        <xdr:cNvPr id="41" name="TextBox 40"/>
        <xdr:cNvSpPr txBox="1"/>
      </xdr:nvSpPr>
      <xdr:spPr>
        <a:xfrm>
          <a:off x="5943600" y="1563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85</xdr:row>
      <xdr:rowOff>90487</xdr:rowOff>
    </xdr:from>
    <xdr:ext cx="65" cy="172227"/>
    <xdr:sp macro="" textlink="">
      <xdr:nvSpPr>
        <xdr:cNvPr id="42" name="TextBox 41"/>
        <xdr:cNvSpPr txBox="1"/>
      </xdr:nvSpPr>
      <xdr:spPr>
        <a:xfrm>
          <a:off x="5943600" y="1563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85</xdr:row>
      <xdr:rowOff>90487</xdr:rowOff>
    </xdr:from>
    <xdr:ext cx="65" cy="172227"/>
    <xdr:sp macro="" textlink="">
      <xdr:nvSpPr>
        <xdr:cNvPr id="43" name="TextBox 42"/>
        <xdr:cNvSpPr txBox="1"/>
      </xdr:nvSpPr>
      <xdr:spPr>
        <a:xfrm>
          <a:off x="5943600" y="1563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89</xdr:row>
      <xdr:rowOff>90487</xdr:rowOff>
    </xdr:from>
    <xdr:ext cx="65" cy="172227"/>
    <xdr:sp macro="" textlink="">
      <xdr:nvSpPr>
        <xdr:cNvPr id="44" name="TextBox 43"/>
        <xdr:cNvSpPr txBox="1"/>
      </xdr:nvSpPr>
      <xdr:spPr>
        <a:xfrm>
          <a:off x="5943600" y="1639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89</xdr:row>
      <xdr:rowOff>90487</xdr:rowOff>
    </xdr:from>
    <xdr:ext cx="65" cy="172227"/>
    <xdr:sp macro="" textlink="">
      <xdr:nvSpPr>
        <xdr:cNvPr id="45" name="TextBox 44"/>
        <xdr:cNvSpPr txBox="1"/>
      </xdr:nvSpPr>
      <xdr:spPr>
        <a:xfrm>
          <a:off x="5943600" y="1639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89</xdr:row>
      <xdr:rowOff>90487</xdr:rowOff>
    </xdr:from>
    <xdr:ext cx="65" cy="172227"/>
    <xdr:sp macro="" textlink="">
      <xdr:nvSpPr>
        <xdr:cNvPr id="46" name="TextBox 45"/>
        <xdr:cNvSpPr txBox="1"/>
      </xdr:nvSpPr>
      <xdr:spPr>
        <a:xfrm>
          <a:off x="5943600" y="1639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89</xdr:row>
      <xdr:rowOff>90487</xdr:rowOff>
    </xdr:from>
    <xdr:ext cx="65" cy="172227"/>
    <xdr:sp macro="" textlink="">
      <xdr:nvSpPr>
        <xdr:cNvPr id="47" name="TextBox 46"/>
        <xdr:cNvSpPr txBox="1"/>
      </xdr:nvSpPr>
      <xdr:spPr>
        <a:xfrm>
          <a:off x="5943600" y="1639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89</xdr:row>
      <xdr:rowOff>90487</xdr:rowOff>
    </xdr:from>
    <xdr:ext cx="65" cy="172227"/>
    <xdr:sp macro="" textlink="">
      <xdr:nvSpPr>
        <xdr:cNvPr id="48" name="TextBox 47"/>
        <xdr:cNvSpPr txBox="1"/>
      </xdr:nvSpPr>
      <xdr:spPr>
        <a:xfrm>
          <a:off x="5943600" y="1639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89</xdr:row>
      <xdr:rowOff>90487</xdr:rowOff>
    </xdr:from>
    <xdr:ext cx="65" cy="172227"/>
    <xdr:sp macro="" textlink="">
      <xdr:nvSpPr>
        <xdr:cNvPr id="49" name="TextBox 48"/>
        <xdr:cNvSpPr txBox="1"/>
      </xdr:nvSpPr>
      <xdr:spPr>
        <a:xfrm>
          <a:off x="5943600" y="1639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93</xdr:row>
      <xdr:rowOff>90487</xdr:rowOff>
    </xdr:from>
    <xdr:ext cx="65" cy="172227"/>
    <xdr:sp macro="" textlink="">
      <xdr:nvSpPr>
        <xdr:cNvPr id="50" name="TextBox 49"/>
        <xdr:cNvSpPr txBox="1"/>
      </xdr:nvSpPr>
      <xdr:spPr>
        <a:xfrm>
          <a:off x="5943600" y="1715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93</xdr:row>
      <xdr:rowOff>90487</xdr:rowOff>
    </xdr:from>
    <xdr:ext cx="65" cy="172227"/>
    <xdr:sp macro="" textlink="">
      <xdr:nvSpPr>
        <xdr:cNvPr id="51" name="TextBox 50"/>
        <xdr:cNvSpPr txBox="1"/>
      </xdr:nvSpPr>
      <xdr:spPr>
        <a:xfrm>
          <a:off x="5943600" y="1715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93</xdr:row>
      <xdr:rowOff>90487</xdr:rowOff>
    </xdr:from>
    <xdr:ext cx="65" cy="172227"/>
    <xdr:sp macro="" textlink="">
      <xdr:nvSpPr>
        <xdr:cNvPr id="52" name="TextBox 51"/>
        <xdr:cNvSpPr txBox="1"/>
      </xdr:nvSpPr>
      <xdr:spPr>
        <a:xfrm>
          <a:off x="5943600" y="1715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93</xdr:row>
      <xdr:rowOff>90487</xdr:rowOff>
    </xdr:from>
    <xdr:ext cx="65" cy="172227"/>
    <xdr:sp macro="" textlink="">
      <xdr:nvSpPr>
        <xdr:cNvPr id="53" name="TextBox 52"/>
        <xdr:cNvSpPr txBox="1"/>
      </xdr:nvSpPr>
      <xdr:spPr>
        <a:xfrm>
          <a:off x="5943600" y="1715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93</xdr:row>
      <xdr:rowOff>90487</xdr:rowOff>
    </xdr:from>
    <xdr:ext cx="65" cy="172227"/>
    <xdr:sp macro="" textlink="">
      <xdr:nvSpPr>
        <xdr:cNvPr id="54" name="TextBox 53"/>
        <xdr:cNvSpPr txBox="1"/>
      </xdr:nvSpPr>
      <xdr:spPr>
        <a:xfrm>
          <a:off x="5943600" y="1715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93</xdr:row>
      <xdr:rowOff>90487</xdr:rowOff>
    </xdr:from>
    <xdr:ext cx="65" cy="172227"/>
    <xdr:sp macro="" textlink="">
      <xdr:nvSpPr>
        <xdr:cNvPr id="55" name="TextBox 54"/>
        <xdr:cNvSpPr txBox="1"/>
      </xdr:nvSpPr>
      <xdr:spPr>
        <a:xfrm>
          <a:off x="5943600" y="1715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97</xdr:row>
      <xdr:rowOff>90487</xdr:rowOff>
    </xdr:from>
    <xdr:ext cx="65" cy="172227"/>
    <xdr:sp macro="" textlink="">
      <xdr:nvSpPr>
        <xdr:cNvPr id="56" name="TextBox 55"/>
        <xdr:cNvSpPr txBox="1"/>
      </xdr:nvSpPr>
      <xdr:spPr>
        <a:xfrm>
          <a:off x="5943600" y="1792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97</xdr:row>
      <xdr:rowOff>90487</xdr:rowOff>
    </xdr:from>
    <xdr:ext cx="65" cy="172227"/>
    <xdr:sp macro="" textlink="">
      <xdr:nvSpPr>
        <xdr:cNvPr id="57" name="TextBox 56"/>
        <xdr:cNvSpPr txBox="1"/>
      </xdr:nvSpPr>
      <xdr:spPr>
        <a:xfrm>
          <a:off x="5943600" y="1792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97</xdr:row>
      <xdr:rowOff>90487</xdr:rowOff>
    </xdr:from>
    <xdr:ext cx="65" cy="172227"/>
    <xdr:sp macro="" textlink="">
      <xdr:nvSpPr>
        <xdr:cNvPr id="58" name="TextBox 57"/>
        <xdr:cNvSpPr txBox="1"/>
      </xdr:nvSpPr>
      <xdr:spPr>
        <a:xfrm>
          <a:off x="5943600" y="1792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97</xdr:row>
      <xdr:rowOff>90487</xdr:rowOff>
    </xdr:from>
    <xdr:ext cx="65" cy="172227"/>
    <xdr:sp macro="" textlink="">
      <xdr:nvSpPr>
        <xdr:cNvPr id="59" name="TextBox 58"/>
        <xdr:cNvSpPr txBox="1"/>
      </xdr:nvSpPr>
      <xdr:spPr>
        <a:xfrm>
          <a:off x="5943600" y="1792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97</xdr:row>
      <xdr:rowOff>90487</xdr:rowOff>
    </xdr:from>
    <xdr:ext cx="65" cy="172227"/>
    <xdr:sp macro="" textlink="">
      <xdr:nvSpPr>
        <xdr:cNvPr id="60" name="TextBox 59"/>
        <xdr:cNvSpPr txBox="1"/>
      </xdr:nvSpPr>
      <xdr:spPr>
        <a:xfrm>
          <a:off x="5943600" y="1792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97</xdr:row>
      <xdr:rowOff>90487</xdr:rowOff>
    </xdr:from>
    <xdr:ext cx="65" cy="172227"/>
    <xdr:sp macro="" textlink="">
      <xdr:nvSpPr>
        <xdr:cNvPr id="61" name="TextBox 60"/>
        <xdr:cNvSpPr txBox="1"/>
      </xdr:nvSpPr>
      <xdr:spPr>
        <a:xfrm>
          <a:off x="5943600" y="1792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101</xdr:row>
      <xdr:rowOff>90487</xdr:rowOff>
    </xdr:from>
    <xdr:ext cx="65" cy="172227"/>
    <xdr:sp macro="" textlink="">
      <xdr:nvSpPr>
        <xdr:cNvPr id="62" name="TextBox 61"/>
        <xdr:cNvSpPr txBox="1"/>
      </xdr:nvSpPr>
      <xdr:spPr>
        <a:xfrm>
          <a:off x="5943600" y="1868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101</xdr:row>
      <xdr:rowOff>90487</xdr:rowOff>
    </xdr:from>
    <xdr:ext cx="65" cy="172227"/>
    <xdr:sp macro="" textlink="">
      <xdr:nvSpPr>
        <xdr:cNvPr id="63" name="TextBox 62"/>
        <xdr:cNvSpPr txBox="1"/>
      </xdr:nvSpPr>
      <xdr:spPr>
        <a:xfrm>
          <a:off x="5943600" y="1868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101</xdr:row>
      <xdr:rowOff>90487</xdr:rowOff>
    </xdr:from>
    <xdr:ext cx="65" cy="172227"/>
    <xdr:sp macro="" textlink="">
      <xdr:nvSpPr>
        <xdr:cNvPr id="64" name="TextBox 63"/>
        <xdr:cNvSpPr txBox="1"/>
      </xdr:nvSpPr>
      <xdr:spPr>
        <a:xfrm>
          <a:off x="5943600" y="1868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101</xdr:row>
      <xdr:rowOff>90487</xdr:rowOff>
    </xdr:from>
    <xdr:ext cx="65" cy="172227"/>
    <xdr:sp macro="" textlink="">
      <xdr:nvSpPr>
        <xdr:cNvPr id="65" name="TextBox 64"/>
        <xdr:cNvSpPr txBox="1"/>
      </xdr:nvSpPr>
      <xdr:spPr>
        <a:xfrm>
          <a:off x="5943600" y="1868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101</xdr:row>
      <xdr:rowOff>90487</xdr:rowOff>
    </xdr:from>
    <xdr:ext cx="65" cy="172227"/>
    <xdr:sp macro="" textlink="">
      <xdr:nvSpPr>
        <xdr:cNvPr id="66" name="TextBox 65"/>
        <xdr:cNvSpPr txBox="1"/>
      </xdr:nvSpPr>
      <xdr:spPr>
        <a:xfrm>
          <a:off x="5943600" y="1868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101</xdr:row>
      <xdr:rowOff>90487</xdr:rowOff>
    </xdr:from>
    <xdr:ext cx="65" cy="172227"/>
    <xdr:sp macro="" textlink="">
      <xdr:nvSpPr>
        <xdr:cNvPr id="67" name="TextBox 66"/>
        <xdr:cNvSpPr txBox="1"/>
      </xdr:nvSpPr>
      <xdr:spPr>
        <a:xfrm>
          <a:off x="5943600" y="1868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105</xdr:row>
      <xdr:rowOff>90487</xdr:rowOff>
    </xdr:from>
    <xdr:ext cx="65" cy="172227"/>
    <xdr:sp macro="" textlink="">
      <xdr:nvSpPr>
        <xdr:cNvPr id="68" name="TextBox 67"/>
        <xdr:cNvSpPr txBox="1"/>
      </xdr:nvSpPr>
      <xdr:spPr>
        <a:xfrm>
          <a:off x="5943600" y="1944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105</xdr:row>
      <xdr:rowOff>90487</xdr:rowOff>
    </xdr:from>
    <xdr:ext cx="65" cy="172227"/>
    <xdr:sp macro="" textlink="">
      <xdr:nvSpPr>
        <xdr:cNvPr id="69" name="TextBox 68"/>
        <xdr:cNvSpPr txBox="1"/>
      </xdr:nvSpPr>
      <xdr:spPr>
        <a:xfrm>
          <a:off x="5943600" y="1944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105</xdr:row>
      <xdr:rowOff>90487</xdr:rowOff>
    </xdr:from>
    <xdr:ext cx="65" cy="172227"/>
    <xdr:sp macro="" textlink="">
      <xdr:nvSpPr>
        <xdr:cNvPr id="70" name="TextBox 69"/>
        <xdr:cNvSpPr txBox="1"/>
      </xdr:nvSpPr>
      <xdr:spPr>
        <a:xfrm>
          <a:off x="5943600" y="1944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105</xdr:row>
      <xdr:rowOff>90487</xdr:rowOff>
    </xdr:from>
    <xdr:ext cx="65" cy="172227"/>
    <xdr:sp macro="" textlink="">
      <xdr:nvSpPr>
        <xdr:cNvPr id="71" name="TextBox 70"/>
        <xdr:cNvSpPr txBox="1"/>
      </xdr:nvSpPr>
      <xdr:spPr>
        <a:xfrm>
          <a:off x="5943600" y="1944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105</xdr:row>
      <xdr:rowOff>90487</xdr:rowOff>
    </xdr:from>
    <xdr:ext cx="65" cy="172227"/>
    <xdr:sp macro="" textlink="">
      <xdr:nvSpPr>
        <xdr:cNvPr id="72" name="TextBox 71"/>
        <xdr:cNvSpPr txBox="1"/>
      </xdr:nvSpPr>
      <xdr:spPr>
        <a:xfrm>
          <a:off x="5943600" y="1944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105</xdr:row>
      <xdr:rowOff>90487</xdr:rowOff>
    </xdr:from>
    <xdr:ext cx="65" cy="172227"/>
    <xdr:sp macro="" textlink="">
      <xdr:nvSpPr>
        <xdr:cNvPr id="73" name="TextBox 72"/>
        <xdr:cNvSpPr txBox="1"/>
      </xdr:nvSpPr>
      <xdr:spPr>
        <a:xfrm>
          <a:off x="5943600" y="1944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101</xdr:row>
      <xdr:rowOff>90487</xdr:rowOff>
    </xdr:from>
    <xdr:ext cx="65" cy="172227"/>
    <xdr:sp macro="" textlink="">
      <xdr:nvSpPr>
        <xdr:cNvPr id="74" name="TextBox 73"/>
        <xdr:cNvSpPr txBox="1"/>
      </xdr:nvSpPr>
      <xdr:spPr>
        <a:xfrm>
          <a:off x="5943600" y="1868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101</xdr:row>
      <xdr:rowOff>90487</xdr:rowOff>
    </xdr:from>
    <xdr:ext cx="65" cy="172227"/>
    <xdr:sp macro="" textlink="">
      <xdr:nvSpPr>
        <xdr:cNvPr id="75" name="TextBox 74"/>
        <xdr:cNvSpPr txBox="1"/>
      </xdr:nvSpPr>
      <xdr:spPr>
        <a:xfrm>
          <a:off x="5943600" y="1868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101</xdr:row>
      <xdr:rowOff>90487</xdr:rowOff>
    </xdr:from>
    <xdr:ext cx="65" cy="172227"/>
    <xdr:sp macro="" textlink="">
      <xdr:nvSpPr>
        <xdr:cNvPr id="76" name="TextBox 75"/>
        <xdr:cNvSpPr txBox="1"/>
      </xdr:nvSpPr>
      <xdr:spPr>
        <a:xfrm>
          <a:off x="5943600" y="1868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101</xdr:row>
      <xdr:rowOff>90487</xdr:rowOff>
    </xdr:from>
    <xdr:ext cx="65" cy="172227"/>
    <xdr:sp macro="" textlink="">
      <xdr:nvSpPr>
        <xdr:cNvPr id="77" name="TextBox 76"/>
        <xdr:cNvSpPr txBox="1"/>
      </xdr:nvSpPr>
      <xdr:spPr>
        <a:xfrm>
          <a:off x="5943600" y="1868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101</xdr:row>
      <xdr:rowOff>90487</xdr:rowOff>
    </xdr:from>
    <xdr:ext cx="65" cy="172227"/>
    <xdr:sp macro="" textlink="">
      <xdr:nvSpPr>
        <xdr:cNvPr id="78" name="TextBox 77"/>
        <xdr:cNvSpPr txBox="1"/>
      </xdr:nvSpPr>
      <xdr:spPr>
        <a:xfrm>
          <a:off x="5943600" y="1868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101</xdr:row>
      <xdr:rowOff>90487</xdr:rowOff>
    </xdr:from>
    <xdr:ext cx="65" cy="172227"/>
    <xdr:sp macro="" textlink="">
      <xdr:nvSpPr>
        <xdr:cNvPr id="79" name="TextBox 78"/>
        <xdr:cNvSpPr txBox="1"/>
      </xdr:nvSpPr>
      <xdr:spPr>
        <a:xfrm>
          <a:off x="5943600" y="1868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109</xdr:row>
      <xdr:rowOff>90487</xdr:rowOff>
    </xdr:from>
    <xdr:ext cx="65" cy="172227"/>
    <xdr:sp macro="" textlink="">
      <xdr:nvSpPr>
        <xdr:cNvPr id="80" name="TextBox 79"/>
        <xdr:cNvSpPr txBox="1"/>
      </xdr:nvSpPr>
      <xdr:spPr>
        <a:xfrm>
          <a:off x="5943600" y="2020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109</xdr:row>
      <xdr:rowOff>90487</xdr:rowOff>
    </xdr:from>
    <xdr:ext cx="65" cy="172227"/>
    <xdr:sp macro="" textlink="">
      <xdr:nvSpPr>
        <xdr:cNvPr id="81" name="TextBox 80"/>
        <xdr:cNvSpPr txBox="1"/>
      </xdr:nvSpPr>
      <xdr:spPr>
        <a:xfrm>
          <a:off x="5943600" y="2020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109</xdr:row>
      <xdr:rowOff>90487</xdr:rowOff>
    </xdr:from>
    <xdr:ext cx="65" cy="172227"/>
    <xdr:sp macro="" textlink="">
      <xdr:nvSpPr>
        <xdr:cNvPr id="82" name="TextBox 81"/>
        <xdr:cNvSpPr txBox="1"/>
      </xdr:nvSpPr>
      <xdr:spPr>
        <a:xfrm>
          <a:off x="5943600" y="2020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109</xdr:row>
      <xdr:rowOff>90487</xdr:rowOff>
    </xdr:from>
    <xdr:ext cx="65" cy="172227"/>
    <xdr:sp macro="" textlink="">
      <xdr:nvSpPr>
        <xdr:cNvPr id="83" name="TextBox 82"/>
        <xdr:cNvSpPr txBox="1"/>
      </xdr:nvSpPr>
      <xdr:spPr>
        <a:xfrm>
          <a:off x="5943600" y="2020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109</xdr:row>
      <xdr:rowOff>90487</xdr:rowOff>
    </xdr:from>
    <xdr:ext cx="65" cy="172227"/>
    <xdr:sp macro="" textlink="">
      <xdr:nvSpPr>
        <xdr:cNvPr id="84" name="TextBox 83"/>
        <xdr:cNvSpPr txBox="1"/>
      </xdr:nvSpPr>
      <xdr:spPr>
        <a:xfrm>
          <a:off x="5943600" y="2020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109</xdr:row>
      <xdr:rowOff>90487</xdr:rowOff>
    </xdr:from>
    <xdr:ext cx="65" cy="172227"/>
    <xdr:sp macro="" textlink="">
      <xdr:nvSpPr>
        <xdr:cNvPr id="85" name="TextBox 84"/>
        <xdr:cNvSpPr txBox="1"/>
      </xdr:nvSpPr>
      <xdr:spPr>
        <a:xfrm>
          <a:off x="5943600" y="2020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113</xdr:row>
      <xdr:rowOff>90487</xdr:rowOff>
    </xdr:from>
    <xdr:ext cx="65" cy="172227"/>
    <xdr:sp macro="" textlink="">
      <xdr:nvSpPr>
        <xdr:cNvPr id="86" name="TextBox 85"/>
        <xdr:cNvSpPr txBox="1"/>
      </xdr:nvSpPr>
      <xdr:spPr>
        <a:xfrm>
          <a:off x="5943600" y="2096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113</xdr:row>
      <xdr:rowOff>90487</xdr:rowOff>
    </xdr:from>
    <xdr:ext cx="65" cy="172227"/>
    <xdr:sp macro="" textlink="">
      <xdr:nvSpPr>
        <xdr:cNvPr id="87" name="TextBox 86"/>
        <xdr:cNvSpPr txBox="1"/>
      </xdr:nvSpPr>
      <xdr:spPr>
        <a:xfrm>
          <a:off x="5943600" y="2096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113</xdr:row>
      <xdr:rowOff>90487</xdr:rowOff>
    </xdr:from>
    <xdr:ext cx="65" cy="172227"/>
    <xdr:sp macro="" textlink="">
      <xdr:nvSpPr>
        <xdr:cNvPr id="88" name="TextBox 87"/>
        <xdr:cNvSpPr txBox="1"/>
      </xdr:nvSpPr>
      <xdr:spPr>
        <a:xfrm>
          <a:off x="5943600" y="2096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113</xdr:row>
      <xdr:rowOff>90487</xdr:rowOff>
    </xdr:from>
    <xdr:ext cx="65" cy="172227"/>
    <xdr:sp macro="" textlink="">
      <xdr:nvSpPr>
        <xdr:cNvPr id="89" name="TextBox 88"/>
        <xdr:cNvSpPr txBox="1"/>
      </xdr:nvSpPr>
      <xdr:spPr>
        <a:xfrm>
          <a:off x="5943600" y="2096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113</xdr:row>
      <xdr:rowOff>90487</xdr:rowOff>
    </xdr:from>
    <xdr:ext cx="65" cy="172227"/>
    <xdr:sp macro="" textlink="">
      <xdr:nvSpPr>
        <xdr:cNvPr id="90" name="TextBox 89"/>
        <xdr:cNvSpPr txBox="1"/>
      </xdr:nvSpPr>
      <xdr:spPr>
        <a:xfrm>
          <a:off x="5943600" y="2096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113</xdr:row>
      <xdr:rowOff>90487</xdr:rowOff>
    </xdr:from>
    <xdr:ext cx="65" cy="172227"/>
    <xdr:sp macro="" textlink="">
      <xdr:nvSpPr>
        <xdr:cNvPr id="91" name="TextBox 90"/>
        <xdr:cNvSpPr txBox="1"/>
      </xdr:nvSpPr>
      <xdr:spPr>
        <a:xfrm>
          <a:off x="5943600" y="2096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117</xdr:row>
      <xdr:rowOff>90487</xdr:rowOff>
    </xdr:from>
    <xdr:ext cx="65" cy="172227"/>
    <xdr:sp macro="" textlink="">
      <xdr:nvSpPr>
        <xdr:cNvPr id="92" name="TextBox 91"/>
        <xdr:cNvSpPr txBox="1"/>
      </xdr:nvSpPr>
      <xdr:spPr>
        <a:xfrm>
          <a:off x="5943600" y="2173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117</xdr:row>
      <xdr:rowOff>90487</xdr:rowOff>
    </xdr:from>
    <xdr:ext cx="65" cy="172227"/>
    <xdr:sp macro="" textlink="">
      <xdr:nvSpPr>
        <xdr:cNvPr id="93" name="TextBox 92"/>
        <xdr:cNvSpPr txBox="1"/>
      </xdr:nvSpPr>
      <xdr:spPr>
        <a:xfrm>
          <a:off x="5943600" y="2173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117</xdr:row>
      <xdr:rowOff>90487</xdr:rowOff>
    </xdr:from>
    <xdr:ext cx="65" cy="172227"/>
    <xdr:sp macro="" textlink="">
      <xdr:nvSpPr>
        <xdr:cNvPr id="94" name="TextBox 93"/>
        <xdr:cNvSpPr txBox="1"/>
      </xdr:nvSpPr>
      <xdr:spPr>
        <a:xfrm>
          <a:off x="5943600" y="2173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117</xdr:row>
      <xdr:rowOff>90487</xdr:rowOff>
    </xdr:from>
    <xdr:ext cx="65" cy="172227"/>
    <xdr:sp macro="" textlink="">
      <xdr:nvSpPr>
        <xdr:cNvPr id="95" name="TextBox 94"/>
        <xdr:cNvSpPr txBox="1"/>
      </xdr:nvSpPr>
      <xdr:spPr>
        <a:xfrm>
          <a:off x="5943600" y="2173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117</xdr:row>
      <xdr:rowOff>90487</xdr:rowOff>
    </xdr:from>
    <xdr:ext cx="65" cy="172227"/>
    <xdr:sp macro="" textlink="">
      <xdr:nvSpPr>
        <xdr:cNvPr id="96" name="TextBox 95"/>
        <xdr:cNvSpPr txBox="1"/>
      </xdr:nvSpPr>
      <xdr:spPr>
        <a:xfrm>
          <a:off x="5943600" y="2173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117</xdr:row>
      <xdr:rowOff>90487</xdr:rowOff>
    </xdr:from>
    <xdr:ext cx="65" cy="172227"/>
    <xdr:sp macro="" textlink="">
      <xdr:nvSpPr>
        <xdr:cNvPr id="97" name="TextBox 96"/>
        <xdr:cNvSpPr txBox="1"/>
      </xdr:nvSpPr>
      <xdr:spPr>
        <a:xfrm>
          <a:off x="5943600" y="2173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121</xdr:row>
      <xdr:rowOff>90487</xdr:rowOff>
    </xdr:from>
    <xdr:ext cx="65" cy="172227"/>
    <xdr:sp macro="" textlink="">
      <xdr:nvSpPr>
        <xdr:cNvPr id="98" name="TextBox 97"/>
        <xdr:cNvSpPr txBox="1"/>
      </xdr:nvSpPr>
      <xdr:spPr>
        <a:xfrm>
          <a:off x="5943600" y="2249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121</xdr:row>
      <xdr:rowOff>90487</xdr:rowOff>
    </xdr:from>
    <xdr:ext cx="65" cy="172227"/>
    <xdr:sp macro="" textlink="">
      <xdr:nvSpPr>
        <xdr:cNvPr id="99" name="TextBox 98"/>
        <xdr:cNvSpPr txBox="1"/>
      </xdr:nvSpPr>
      <xdr:spPr>
        <a:xfrm>
          <a:off x="5943600" y="2249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121</xdr:row>
      <xdr:rowOff>90487</xdr:rowOff>
    </xdr:from>
    <xdr:ext cx="65" cy="172227"/>
    <xdr:sp macro="" textlink="">
      <xdr:nvSpPr>
        <xdr:cNvPr id="100" name="TextBox 99"/>
        <xdr:cNvSpPr txBox="1"/>
      </xdr:nvSpPr>
      <xdr:spPr>
        <a:xfrm>
          <a:off x="5943600" y="2249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121</xdr:row>
      <xdr:rowOff>90487</xdr:rowOff>
    </xdr:from>
    <xdr:ext cx="65" cy="172227"/>
    <xdr:sp macro="" textlink="">
      <xdr:nvSpPr>
        <xdr:cNvPr id="101" name="TextBox 100"/>
        <xdr:cNvSpPr txBox="1"/>
      </xdr:nvSpPr>
      <xdr:spPr>
        <a:xfrm>
          <a:off x="5943600" y="2249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121</xdr:row>
      <xdr:rowOff>90487</xdr:rowOff>
    </xdr:from>
    <xdr:ext cx="65" cy="172227"/>
    <xdr:sp macro="" textlink="">
      <xdr:nvSpPr>
        <xdr:cNvPr id="102" name="TextBox 101"/>
        <xdr:cNvSpPr txBox="1"/>
      </xdr:nvSpPr>
      <xdr:spPr>
        <a:xfrm>
          <a:off x="5943600" y="2249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121</xdr:row>
      <xdr:rowOff>90487</xdr:rowOff>
    </xdr:from>
    <xdr:ext cx="65" cy="172227"/>
    <xdr:sp macro="" textlink="">
      <xdr:nvSpPr>
        <xdr:cNvPr id="103" name="TextBox 102"/>
        <xdr:cNvSpPr txBox="1"/>
      </xdr:nvSpPr>
      <xdr:spPr>
        <a:xfrm>
          <a:off x="5943600" y="2249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125</xdr:row>
      <xdr:rowOff>90487</xdr:rowOff>
    </xdr:from>
    <xdr:ext cx="65" cy="172227"/>
    <xdr:sp macro="" textlink="">
      <xdr:nvSpPr>
        <xdr:cNvPr id="104" name="TextBox 103"/>
        <xdr:cNvSpPr txBox="1"/>
      </xdr:nvSpPr>
      <xdr:spPr>
        <a:xfrm>
          <a:off x="5943600" y="2325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125</xdr:row>
      <xdr:rowOff>90487</xdr:rowOff>
    </xdr:from>
    <xdr:ext cx="65" cy="172227"/>
    <xdr:sp macro="" textlink="">
      <xdr:nvSpPr>
        <xdr:cNvPr id="105" name="TextBox 104"/>
        <xdr:cNvSpPr txBox="1"/>
      </xdr:nvSpPr>
      <xdr:spPr>
        <a:xfrm>
          <a:off x="5943600" y="2325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125</xdr:row>
      <xdr:rowOff>90487</xdr:rowOff>
    </xdr:from>
    <xdr:ext cx="65" cy="172227"/>
    <xdr:sp macro="" textlink="">
      <xdr:nvSpPr>
        <xdr:cNvPr id="106" name="TextBox 105"/>
        <xdr:cNvSpPr txBox="1"/>
      </xdr:nvSpPr>
      <xdr:spPr>
        <a:xfrm>
          <a:off x="5943600" y="2325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125</xdr:row>
      <xdr:rowOff>90487</xdr:rowOff>
    </xdr:from>
    <xdr:ext cx="65" cy="172227"/>
    <xdr:sp macro="" textlink="">
      <xdr:nvSpPr>
        <xdr:cNvPr id="107" name="TextBox 106"/>
        <xdr:cNvSpPr txBox="1"/>
      </xdr:nvSpPr>
      <xdr:spPr>
        <a:xfrm>
          <a:off x="5943600" y="2325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125</xdr:row>
      <xdr:rowOff>90487</xdr:rowOff>
    </xdr:from>
    <xdr:ext cx="65" cy="172227"/>
    <xdr:sp macro="" textlink="">
      <xdr:nvSpPr>
        <xdr:cNvPr id="108" name="TextBox 107"/>
        <xdr:cNvSpPr txBox="1"/>
      </xdr:nvSpPr>
      <xdr:spPr>
        <a:xfrm>
          <a:off x="5943600" y="2325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125</xdr:row>
      <xdr:rowOff>90487</xdr:rowOff>
    </xdr:from>
    <xdr:ext cx="65" cy="172227"/>
    <xdr:sp macro="" textlink="">
      <xdr:nvSpPr>
        <xdr:cNvPr id="109" name="TextBox 108"/>
        <xdr:cNvSpPr txBox="1"/>
      </xdr:nvSpPr>
      <xdr:spPr>
        <a:xfrm>
          <a:off x="5943600" y="2325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129</xdr:row>
      <xdr:rowOff>90487</xdr:rowOff>
    </xdr:from>
    <xdr:ext cx="65" cy="172227"/>
    <xdr:sp macro="" textlink="">
      <xdr:nvSpPr>
        <xdr:cNvPr id="110" name="TextBox 109"/>
        <xdr:cNvSpPr txBox="1"/>
      </xdr:nvSpPr>
      <xdr:spPr>
        <a:xfrm>
          <a:off x="5943600" y="2401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129</xdr:row>
      <xdr:rowOff>90487</xdr:rowOff>
    </xdr:from>
    <xdr:ext cx="65" cy="172227"/>
    <xdr:sp macro="" textlink="">
      <xdr:nvSpPr>
        <xdr:cNvPr id="111" name="TextBox 110"/>
        <xdr:cNvSpPr txBox="1"/>
      </xdr:nvSpPr>
      <xdr:spPr>
        <a:xfrm>
          <a:off x="5943600" y="2401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129</xdr:row>
      <xdr:rowOff>90487</xdr:rowOff>
    </xdr:from>
    <xdr:ext cx="65" cy="172227"/>
    <xdr:sp macro="" textlink="">
      <xdr:nvSpPr>
        <xdr:cNvPr id="112" name="TextBox 111"/>
        <xdr:cNvSpPr txBox="1"/>
      </xdr:nvSpPr>
      <xdr:spPr>
        <a:xfrm>
          <a:off x="5943600" y="2401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129</xdr:row>
      <xdr:rowOff>90487</xdr:rowOff>
    </xdr:from>
    <xdr:ext cx="65" cy="172227"/>
    <xdr:sp macro="" textlink="">
      <xdr:nvSpPr>
        <xdr:cNvPr id="113" name="TextBox 112"/>
        <xdr:cNvSpPr txBox="1"/>
      </xdr:nvSpPr>
      <xdr:spPr>
        <a:xfrm>
          <a:off x="5943600" y="2401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129</xdr:row>
      <xdr:rowOff>90487</xdr:rowOff>
    </xdr:from>
    <xdr:ext cx="65" cy="172227"/>
    <xdr:sp macro="" textlink="">
      <xdr:nvSpPr>
        <xdr:cNvPr id="114" name="TextBox 113"/>
        <xdr:cNvSpPr txBox="1"/>
      </xdr:nvSpPr>
      <xdr:spPr>
        <a:xfrm>
          <a:off x="5943600" y="2401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129</xdr:row>
      <xdr:rowOff>90487</xdr:rowOff>
    </xdr:from>
    <xdr:ext cx="65" cy="172227"/>
    <xdr:sp macro="" textlink="">
      <xdr:nvSpPr>
        <xdr:cNvPr id="115" name="TextBox 114"/>
        <xdr:cNvSpPr txBox="1"/>
      </xdr:nvSpPr>
      <xdr:spPr>
        <a:xfrm>
          <a:off x="5943600" y="2401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133</xdr:row>
      <xdr:rowOff>90487</xdr:rowOff>
    </xdr:from>
    <xdr:ext cx="65" cy="172227"/>
    <xdr:sp macro="" textlink="">
      <xdr:nvSpPr>
        <xdr:cNvPr id="116" name="TextBox 115"/>
        <xdr:cNvSpPr txBox="1"/>
      </xdr:nvSpPr>
      <xdr:spPr>
        <a:xfrm>
          <a:off x="5943600" y="2477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133</xdr:row>
      <xdr:rowOff>90487</xdr:rowOff>
    </xdr:from>
    <xdr:ext cx="65" cy="172227"/>
    <xdr:sp macro="" textlink="">
      <xdr:nvSpPr>
        <xdr:cNvPr id="117" name="TextBox 116"/>
        <xdr:cNvSpPr txBox="1"/>
      </xdr:nvSpPr>
      <xdr:spPr>
        <a:xfrm>
          <a:off x="5943600" y="2477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133</xdr:row>
      <xdr:rowOff>90487</xdr:rowOff>
    </xdr:from>
    <xdr:ext cx="65" cy="172227"/>
    <xdr:sp macro="" textlink="">
      <xdr:nvSpPr>
        <xdr:cNvPr id="118" name="TextBox 117"/>
        <xdr:cNvSpPr txBox="1"/>
      </xdr:nvSpPr>
      <xdr:spPr>
        <a:xfrm>
          <a:off x="5943600" y="2477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133</xdr:row>
      <xdr:rowOff>90487</xdr:rowOff>
    </xdr:from>
    <xdr:ext cx="65" cy="172227"/>
    <xdr:sp macro="" textlink="">
      <xdr:nvSpPr>
        <xdr:cNvPr id="119" name="TextBox 118"/>
        <xdr:cNvSpPr txBox="1"/>
      </xdr:nvSpPr>
      <xdr:spPr>
        <a:xfrm>
          <a:off x="5943600" y="2477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133</xdr:row>
      <xdr:rowOff>90487</xdr:rowOff>
    </xdr:from>
    <xdr:ext cx="65" cy="172227"/>
    <xdr:sp macro="" textlink="">
      <xdr:nvSpPr>
        <xdr:cNvPr id="120" name="TextBox 119"/>
        <xdr:cNvSpPr txBox="1"/>
      </xdr:nvSpPr>
      <xdr:spPr>
        <a:xfrm>
          <a:off x="5943600" y="2477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133</xdr:row>
      <xdr:rowOff>90487</xdr:rowOff>
    </xdr:from>
    <xdr:ext cx="65" cy="172227"/>
    <xdr:sp macro="" textlink="">
      <xdr:nvSpPr>
        <xdr:cNvPr id="121" name="TextBox 120"/>
        <xdr:cNvSpPr txBox="1"/>
      </xdr:nvSpPr>
      <xdr:spPr>
        <a:xfrm>
          <a:off x="5943600" y="2477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137</xdr:row>
      <xdr:rowOff>90487</xdr:rowOff>
    </xdr:from>
    <xdr:ext cx="65" cy="172227"/>
    <xdr:sp macro="" textlink="">
      <xdr:nvSpPr>
        <xdr:cNvPr id="122" name="TextBox 121"/>
        <xdr:cNvSpPr txBox="1"/>
      </xdr:nvSpPr>
      <xdr:spPr>
        <a:xfrm>
          <a:off x="5943600" y="2554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137</xdr:row>
      <xdr:rowOff>90487</xdr:rowOff>
    </xdr:from>
    <xdr:ext cx="65" cy="172227"/>
    <xdr:sp macro="" textlink="">
      <xdr:nvSpPr>
        <xdr:cNvPr id="123" name="TextBox 122"/>
        <xdr:cNvSpPr txBox="1"/>
      </xdr:nvSpPr>
      <xdr:spPr>
        <a:xfrm>
          <a:off x="5943600" y="2554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137</xdr:row>
      <xdr:rowOff>90487</xdr:rowOff>
    </xdr:from>
    <xdr:ext cx="65" cy="172227"/>
    <xdr:sp macro="" textlink="">
      <xdr:nvSpPr>
        <xdr:cNvPr id="124" name="TextBox 123"/>
        <xdr:cNvSpPr txBox="1"/>
      </xdr:nvSpPr>
      <xdr:spPr>
        <a:xfrm>
          <a:off x="5943600" y="2554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137</xdr:row>
      <xdr:rowOff>90487</xdr:rowOff>
    </xdr:from>
    <xdr:ext cx="65" cy="172227"/>
    <xdr:sp macro="" textlink="">
      <xdr:nvSpPr>
        <xdr:cNvPr id="125" name="TextBox 124"/>
        <xdr:cNvSpPr txBox="1"/>
      </xdr:nvSpPr>
      <xdr:spPr>
        <a:xfrm>
          <a:off x="5943600" y="2554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137</xdr:row>
      <xdr:rowOff>90487</xdr:rowOff>
    </xdr:from>
    <xdr:ext cx="65" cy="172227"/>
    <xdr:sp macro="" textlink="">
      <xdr:nvSpPr>
        <xdr:cNvPr id="126" name="TextBox 125"/>
        <xdr:cNvSpPr txBox="1"/>
      </xdr:nvSpPr>
      <xdr:spPr>
        <a:xfrm>
          <a:off x="5943600" y="2554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137</xdr:row>
      <xdr:rowOff>90487</xdr:rowOff>
    </xdr:from>
    <xdr:ext cx="65" cy="172227"/>
    <xdr:sp macro="" textlink="">
      <xdr:nvSpPr>
        <xdr:cNvPr id="127" name="TextBox 126"/>
        <xdr:cNvSpPr txBox="1"/>
      </xdr:nvSpPr>
      <xdr:spPr>
        <a:xfrm>
          <a:off x="5943600" y="2554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137</xdr:row>
      <xdr:rowOff>90487</xdr:rowOff>
    </xdr:from>
    <xdr:ext cx="65" cy="172227"/>
    <xdr:sp macro="" textlink="">
      <xdr:nvSpPr>
        <xdr:cNvPr id="128" name="TextBox 127"/>
        <xdr:cNvSpPr txBox="1"/>
      </xdr:nvSpPr>
      <xdr:spPr>
        <a:xfrm>
          <a:off x="5943600" y="2554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137</xdr:row>
      <xdr:rowOff>90487</xdr:rowOff>
    </xdr:from>
    <xdr:ext cx="65" cy="172227"/>
    <xdr:sp macro="" textlink="">
      <xdr:nvSpPr>
        <xdr:cNvPr id="129" name="TextBox 128"/>
        <xdr:cNvSpPr txBox="1"/>
      </xdr:nvSpPr>
      <xdr:spPr>
        <a:xfrm>
          <a:off x="5943600" y="2554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141</xdr:row>
      <xdr:rowOff>90487</xdr:rowOff>
    </xdr:from>
    <xdr:ext cx="65" cy="172227"/>
    <xdr:sp macro="" textlink="">
      <xdr:nvSpPr>
        <xdr:cNvPr id="130" name="TextBox 129"/>
        <xdr:cNvSpPr txBox="1"/>
      </xdr:nvSpPr>
      <xdr:spPr>
        <a:xfrm>
          <a:off x="5943600" y="2630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141</xdr:row>
      <xdr:rowOff>90487</xdr:rowOff>
    </xdr:from>
    <xdr:ext cx="65" cy="172227"/>
    <xdr:sp macro="" textlink="">
      <xdr:nvSpPr>
        <xdr:cNvPr id="131" name="TextBox 130"/>
        <xdr:cNvSpPr txBox="1"/>
      </xdr:nvSpPr>
      <xdr:spPr>
        <a:xfrm>
          <a:off x="5943600" y="2630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141</xdr:row>
      <xdr:rowOff>90487</xdr:rowOff>
    </xdr:from>
    <xdr:ext cx="65" cy="172227"/>
    <xdr:sp macro="" textlink="">
      <xdr:nvSpPr>
        <xdr:cNvPr id="132" name="TextBox 131"/>
        <xdr:cNvSpPr txBox="1"/>
      </xdr:nvSpPr>
      <xdr:spPr>
        <a:xfrm>
          <a:off x="5943600" y="2630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141</xdr:row>
      <xdr:rowOff>90487</xdr:rowOff>
    </xdr:from>
    <xdr:ext cx="65" cy="172227"/>
    <xdr:sp macro="" textlink="">
      <xdr:nvSpPr>
        <xdr:cNvPr id="133" name="TextBox 132"/>
        <xdr:cNvSpPr txBox="1"/>
      </xdr:nvSpPr>
      <xdr:spPr>
        <a:xfrm>
          <a:off x="5943600" y="2630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141</xdr:row>
      <xdr:rowOff>90487</xdr:rowOff>
    </xdr:from>
    <xdr:ext cx="65" cy="172227"/>
    <xdr:sp macro="" textlink="">
      <xdr:nvSpPr>
        <xdr:cNvPr id="134" name="TextBox 133"/>
        <xdr:cNvSpPr txBox="1"/>
      </xdr:nvSpPr>
      <xdr:spPr>
        <a:xfrm>
          <a:off x="5943600" y="2630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141</xdr:row>
      <xdr:rowOff>90487</xdr:rowOff>
    </xdr:from>
    <xdr:ext cx="65" cy="172227"/>
    <xdr:sp macro="" textlink="">
      <xdr:nvSpPr>
        <xdr:cNvPr id="135" name="TextBox 134"/>
        <xdr:cNvSpPr txBox="1"/>
      </xdr:nvSpPr>
      <xdr:spPr>
        <a:xfrm>
          <a:off x="5943600" y="2630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141</xdr:row>
      <xdr:rowOff>90487</xdr:rowOff>
    </xdr:from>
    <xdr:ext cx="65" cy="172227"/>
    <xdr:sp macro="" textlink="">
      <xdr:nvSpPr>
        <xdr:cNvPr id="136" name="TextBox 135"/>
        <xdr:cNvSpPr txBox="1"/>
      </xdr:nvSpPr>
      <xdr:spPr>
        <a:xfrm>
          <a:off x="5943600" y="2630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141</xdr:row>
      <xdr:rowOff>90487</xdr:rowOff>
    </xdr:from>
    <xdr:ext cx="65" cy="172227"/>
    <xdr:sp macro="" textlink="">
      <xdr:nvSpPr>
        <xdr:cNvPr id="137" name="TextBox 136"/>
        <xdr:cNvSpPr txBox="1"/>
      </xdr:nvSpPr>
      <xdr:spPr>
        <a:xfrm>
          <a:off x="5943600" y="2630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145</xdr:row>
      <xdr:rowOff>90487</xdr:rowOff>
    </xdr:from>
    <xdr:ext cx="65" cy="172227"/>
    <xdr:sp macro="" textlink="">
      <xdr:nvSpPr>
        <xdr:cNvPr id="138" name="TextBox 137"/>
        <xdr:cNvSpPr txBox="1"/>
      </xdr:nvSpPr>
      <xdr:spPr>
        <a:xfrm>
          <a:off x="5943600" y="2706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145</xdr:row>
      <xdr:rowOff>90487</xdr:rowOff>
    </xdr:from>
    <xdr:ext cx="65" cy="172227"/>
    <xdr:sp macro="" textlink="">
      <xdr:nvSpPr>
        <xdr:cNvPr id="139" name="TextBox 138"/>
        <xdr:cNvSpPr txBox="1"/>
      </xdr:nvSpPr>
      <xdr:spPr>
        <a:xfrm>
          <a:off x="5943600" y="2706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145</xdr:row>
      <xdr:rowOff>90487</xdr:rowOff>
    </xdr:from>
    <xdr:ext cx="65" cy="172227"/>
    <xdr:sp macro="" textlink="">
      <xdr:nvSpPr>
        <xdr:cNvPr id="140" name="TextBox 139"/>
        <xdr:cNvSpPr txBox="1"/>
      </xdr:nvSpPr>
      <xdr:spPr>
        <a:xfrm>
          <a:off x="5943600" y="2706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145</xdr:row>
      <xdr:rowOff>90487</xdr:rowOff>
    </xdr:from>
    <xdr:ext cx="65" cy="172227"/>
    <xdr:sp macro="" textlink="">
      <xdr:nvSpPr>
        <xdr:cNvPr id="141" name="TextBox 140"/>
        <xdr:cNvSpPr txBox="1"/>
      </xdr:nvSpPr>
      <xdr:spPr>
        <a:xfrm>
          <a:off x="5943600" y="2706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145</xdr:row>
      <xdr:rowOff>90487</xdr:rowOff>
    </xdr:from>
    <xdr:ext cx="65" cy="172227"/>
    <xdr:sp macro="" textlink="">
      <xdr:nvSpPr>
        <xdr:cNvPr id="142" name="TextBox 141"/>
        <xdr:cNvSpPr txBox="1"/>
      </xdr:nvSpPr>
      <xdr:spPr>
        <a:xfrm>
          <a:off x="5943600" y="2706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145</xdr:row>
      <xdr:rowOff>90487</xdr:rowOff>
    </xdr:from>
    <xdr:ext cx="65" cy="172227"/>
    <xdr:sp macro="" textlink="">
      <xdr:nvSpPr>
        <xdr:cNvPr id="143" name="TextBox 142"/>
        <xdr:cNvSpPr txBox="1"/>
      </xdr:nvSpPr>
      <xdr:spPr>
        <a:xfrm>
          <a:off x="5943600" y="2706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145</xdr:row>
      <xdr:rowOff>90487</xdr:rowOff>
    </xdr:from>
    <xdr:ext cx="65" cy="172227"/>
    <xdr:sp macro="" textlink="">
      <xdr:nvSpPr>
        <xdr:cNvPr id="144" name="TextBox 143"/>
        <xdr:cNvSpPr txBox="1"/>
      </xdr:nvSpPr>
      <xdr:spPr>
        <a:xfrm>
          <a:off x="5943600" y="2706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145</xdr:row>
      <xdr:rowOff>90487</xdr:rowOff>
    </xdr:from>
    <xdr:ext cx="65" cy="172227"/>
    <xdr:sp macro="" textlink="">
      <xdr:nvSpPr>
        <xdr:cNvPr id="145" name="TextBox 144"/>
        <xdr:cNvSpPr txBox="1"/>
      </xdr:nvSpPr>
      <xdr:spPr>
        <a:xfrm>
          <a:off x="5943600" y="2706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149</xdr:row>
      <xdr:rowOff>90487</xdr:rowOff>
    </xdr:from>
    <xdr:ext cx="65" cy="172227"/>
    <xdr:sp macro="" textlink="">
      <xdr:nvSpPr>
        <xdr:cNvPr id="146" name="TextBox 145"/>
        <xdr:cNvSpPr txBox="1"/>
      </xdr:nvSpPr>
      <xdr:spPr>
        <a:xfrm>
          <a:off x="5943600" y="2782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149</xdr:row>
      <xdr:rowOff>90487</xdr:rowOff>
    </xdr:from>
    <xdr:ext cx="65" cy="172227"/>
    <xdr:sp macro="" textlink="">
      <xdr:nvSpPr>
        <xdr:cNvPr id="147" name="TextBox 146"/>
        <xdr:cNvSpPr txBox="1"/>
      </xdr:nvSpPr>
      <xdr:spPr>
        <a:xfrm>
          <a:off x="5943600" y="2782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149</xdr:row>
      <xdr:rowOff>90487</xdr:rowOff>
    </xdr:from>
    <xdr:ext cx="65" cy="172227"/>
    <xdr:sp macro="" textlink="">
      <xdr:nvSpPr>
        <xdr:cNvPr id="148" name="TextBox 147"/>
        <xdr:cNvSpPr txBox="1"/>
      </xdr:nvSpPr>
      <xdr:spPr>
        <a:xfrm>
          <a:off x="5943600" y="2782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149</xdr:row>
      <xdr:rowOff>90487</xdr:rowOff>
    </xdr:from>
    <xdr:ext cx="65" cy="172227"/>
    <xdr:sp macro="" textlink="">
      <xdr:nvSpPr>
        <xdr:cNvPr id="149" name="TextBox 148"/>
        <xdr:cNvSpPr txBox="1"/>
      </xdr:nvSpPr>
      <xdr:spPr>
        <a:xfrm>
          <a:off x="5943600" y="2782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149</xdr:row>
      <xdr:rowOff>90487</xdr:rowOff>
    </xdr:from>
    <xdr:ext cx="65" cy="172227"/>
    <xdr:sp macro="" textlink="">
      <xdr:nvSpPr>
        <xdr:cNvPr id="150" name="TextBox 149"/>
        <xdr:cNvSpPr txBox="1"/>
      </xdr:nvSpPr>
      <xdr:spPr>
        <a:xfrm>
          <a:off x="5943600" y="2782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149</xdr:row>
      <xdr:rowOff>90487</xdr:rowOff>
    </xdr:from>
    <xdr:ext cx="65" cy="172227"/>
    <xdr:sp macro="" textlink="">
      <xdr:nvSpPr>
        <xdr:cNvPr id="151" name="TextBox 150"/>
        <xdr:cNvSpPr txBox="1"/>
      </xdr:nvSpPr>
      <xdr:spPr>
        <a:xfrm>
          <a:off x="5943600" y="2782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149</xdr:row>
      <xdr:rowOff>90487</xdr:rowOff>
    </xdr:from>
    <xdr:ext cx="65" cy="172227"/>
    <xdr:sp macro="" textlink="">
      <xdr:nvSpPr>
        <xdr:cNvPr id="152" name="TextBox 151"/>
        <xdr:cNvSpPr txBox="1"/>
      </xdr:nvSpPr>
      <xdr:spPr>
        <a:xfrm>
          <a:off x="5943600" y="2782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149</xdr:row>
      <xdr:rowOff>90487</xdr:rowOff>
    </xdr:from>
    <xdr:ext cx="65" cy="172227"/>
    <xdr:sp macro="" textlink="">
      <xdr:nvSpPr>
        <xdr:cNvPr id="153" name="TextBox 152"/>
        <xdr:cNvSpPr txBox="1"/>
      </xdr:nvSpPr>
      <xdr:spPr>
        <a:xfrm>
          <a:off x="5943600" y="2782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153</xdr:row>
      <xdr:rowOff>90487</xdr:rowOff>
    </xdr:from>
    <xdr:ext cx="65" cy="172227"/>
    <xdr:sp macro="" textlink="">
      <xdr:nvSpPr>
        <xdr:cNvPr id="154" name="TextBox 153"/>
        <xdr:cNvSpPr txBox="1"/>
      </xdr:nvSpPr>
      <xdr:spPr>
        <a:xfrm>
          <a:off x="5943600" y="2858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153</xdr:row>
      <xdr:rowOff>90487</xdr:rowOff>
    </xdr:from>
    <xdr:ext cx="65" cy="172227"/>
    <xdr:sp macro="" textlink="">
      <xdr:nvSpPr>
        <xdr:cNvPr id="155" name="TextBox 154"/>
        <xdr:cNvSpPr txBox="1"/>
      </xdr:nvSpPr>
      <xdr:spPr>
        <a:xfrm>
          <a:off x="5943600" y="2858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153</xdr:row>
      <xdr:rowOff>90487</xdr:rowOff>
    </xdr:from>
    <xdr:ext cx="65" cy="172227"/>
    <xdr:sp macro="" textlink="">
      <xdr:nvSpPr>
        <xdr:cNvPr id="156" name="TextBox 155"/>
        <xdr:cNvSpPr txBox="1"/>
      </xdr:nvSpPr>
      <xdr:spPr>
        <a:xfrm>
          <a:off x="5943600" y="2858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153</xdr:row>
      <xdr:rowOff>90487</xdr:rowOff>
    </xdr:from>
    <xdr:ext cx="65" cy="172227"/>
    <xdr:sp macro="" textlink="">
      <xdr:nvSpPr>
        <xdr:cNvPr id="157" name="TextBox 156"/>
        <xdr:cNvSpPr txBox="1"/>
      </xdr:nvSpPr>
      <xdr:spPr>
        <a:xfrm>
          <a:off x="5943600" y="2858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153</xdr:row>
      <xdr:rowOff>90487</xdr:rowOff>
    </xdr:from>
    <xdr:ext cx="65" cy="172227"/>
    <xdr:sp macro="" textlink="">
      <xdr:nvSpPr>
        <xdr:cNvPr id="158" name="TextBox 157"/>
        <xdr:cNvSpPr txBox="1"/>
      </xdr:nvSpPr>
      <xdr:spPr>
        <a:xfrm>
          <a:off x="5943600" y="2858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153</xdr:row>
      <xdr:rowOff>90487</xdr:rowOff>
    </xdr:from>
    <xdr:ext cx="65" cy="172227"/>
    <xdr:sp macro="" textlink="">
      <xdr:nvSpPr>
        <xdr:cNvPr id="159" name="TextBox 158"/>
        <xdr:cNvSpPr txBox="1"/>
      </xdr:nvSpPr>
      <xdr:spPr>
        <a:xfrm>
          <a:off x="5943600" y="2858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153</xdr:row>
      <xdr:rowOff>90487</xdr:rowOff>
    </xdr:from>
    <xdr:ext cx="65" cy="172227"/>
    <xdr:sp macro="" textlink="">
      <xdr:nvSpPr>
        <xdr:cNvPr id="160" name="TextBox 159"/>
        <xdr:cNvSpPr txBox="1"/>
      </xdr:nvSpPr>
      <xdr:spPr>
        <a:xfrm>
          <a:off x="5943600" y="2858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153</xdr:row>
      <xdr:rowOff>90487</xdr:rowOff>
    </xdr:from>
    <xdr:ext cx="65" cy="172227"/>
    <xdr:sp macro="" textlink="">
      <xdr:nvSpPr>
        <xdr:cNvPr id="161" name="TextBox 160"/>
        <xdr:cNvSpPr txBox="1"/>
      </xdr:nvSpPr>
      <xdr:spPr>
        <a:xfrm>
          <a:off x="5943600" y="2858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157</xdr:row>
      <xdr:rowOff>90487</xdr:rowOff>
    </xdr:from>
    <xdr:ext cx="65" cy="172227"/>
    <xdr:sp macro="" textlink="">
      <xdr:nvSpPr>
        <xdr:cNvPr id="162" name="TextBox 161"/>
        <xdr:cNvSpPr txBox="1"/>
      </xdr:nvSpPr>
      <xdr:spPr>
        <a:xfrm>
          <a:off x="5943600" y="2935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157</xdr:row>
      <xdr:rowOff>90487</xdr:rowOff>
    </xdr:from>
    <xdr:ext cx="65" cy="172227"/>
    <xdr:sp macro="" textlink="">
      <xdr:nvSpPr>
        <xdr:cNvPr id="163" name="TextBox 162"/>
        <xdr:cNvSpPr txBox="1"/>
      </xdr:nvSpPr>
      <xdr:spPr>
        <a:xfrm>
          <a:off x="5943600" y="2935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157</xdr:row>
      <xdr:rowOff>90487</xdr:rowOff>
    </xdr:from>
    <xdr:ext cx="65" cy="172227"/>
    <xdr:sp macro="" textlink="">
      <xdr:nvSpPr>
        <xdr:cNvPr id="164" name="TextBox 163"/>
        <xdr:cNvSpPr txBox="1"/>
      </xdr:nvSpPr>
      <xdr:spPr>
        <a:xfrm>
          <a:off x="5943600" y="2935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157</xdr:row>
      <xdr:rowOff>90487</xdr:rowOff>
    </xdr:from>
    <xdr:ext cx="65" cy="172227"/>
    <xdr:sp macro="" textlink="">
      <xdr:nvSpPr>
        <xdr:cNvPr id="165" name="TextBox 164"/>
        <xdr:cNvSpPr txBox="1"/>
      </xdr:nvSpPr>
      <xdr:spPr>
        <a:xfrm>
          <a:off x="5943600" y="2935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157</xdr:row>
      <xdr:rowOff>90487</xdr:rowOff>
    </xdr:from>
    <xdr:ext cx="65" cy="172227"/>
    <xdr:sp macro="" textlink="">
      <xdr:nvSpPr>
        <xdr:cNvPr id="166" name="TextBox 165"/>
        <xdr:cNvSpPr txBox="1"/>
      </xdr:nvSpPr>
      <xdr:spPr>
        <a:xfrm>
          <a:off x="5943600" y="2935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157</xdr:row>
      <xdr:rowOff>90487</xdr:rowOff>
    </xdr:from>
    <xdr:ext cx="65" cy="172227"/>
    <xdr:sp macro="" textlink="">
      <xdr:nvSpPr>
        <xdr:cNvPr id="167" name="TextBox 166"/>
        <xdr:cNvSpPr txBox="1"/>
      </xdr:nvSpPr>
      <xdr:spPr>
        <a:xfrm>
          <a:off x="5943600" y="2935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157</xdr:row>
      <xdr:rowOff>90487</xdr:rowOff>
    </xdr:from>
    <xdr:ext cx="65" cy="172227"/>
    <xdr:sp macro="" textlink="">
      <xdr:nvSpPr>
        <xdr:cNvPr id="168" name="TextBox 167"/>
        <xdr:cNvSpPr txBox="1"/>
      </xdr:nvSpPr>
      <xdr:spPr>
        <a:xfrm>
          <a:off x="5943600" y="2935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157</xdr:row>
      <xdr:rowOff>90487</xdr:rowOff>
    </xdr:from>
    <xdr:ext cx="65" cy="172227"/>
    <xdr:sp macro="" textlink="">
      <xdr:nvSpPr>
        <xdr:cNvPr id="169" name="TextBox 168"/>
        <xdr:cNvSpPr txBox="1"/>
      </xdr:nvSpPr>
      <xdr:spPr>
        <a:xfrm>
          <a:off x="5943600" y="2935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165</xdr:row>
      <xdr:rowOff>90487</xdr:rowOff>
    </xdr:from>
    <xdr:ext cx="65" cy="172227"/>
    <xdr:sp macro="" textlink="">
      <xdr:nvSpPr>
        <xdr:cNvPr id="170" name="TextBox 169"/>
        <xdr:cNvSpPr txBox="1"/>
      </xdr:nvSpPr>
      <xdr:spPr>
        <a:xfrm>
          <a:off x="5943600" y="3087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165</xdr:row>
      <xdr:rowOff>90487</xdr:rowOff>
    </xdr:from>
    <xdr:ext cx="65" cy="172227"/>
    <xdr:sp macro="" textlink="">
      <xdr:nvSpPr>
        <xdr:cNvPr id="171" name="TextBox 170"/>
        <xdr:cNvSpPr txBox="1"/>
      </xdr:nvSpPr>
      <xdr:spPr>
        <a:xfrm>
          <a:off x="5943600" y="3087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165</xdr:row>
      <xdr:rowOff>90487</xdr:rowOff>
    </xdr:from>
    <xdr:ext cx="65" cy="172227"/>
    <xdr:sp macro="" textlink="">
      <xdr:nvSpPr>
        <xdr:cNvPr id="172" name="TextBox 171"/>
        <xdr:cNvSpPr txBox="1"/>
      </xdr:nvSpPr>
      <xdr:spPr>
        <a:xfrm>
          <a:off x="5943600" y="3087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165</xdr:row>
      <xdr:rowOff>90487</xdr:rowOff>
    </xdr:from>
    <xdr:ext cx="65" cy="172227"/>
    <xdr:sp macro="" textlink="">
      <xdr:nvSpPr>
        <xdr:cNvPr id="173" name="TextBox 172"/>
        <xdr:cNvSpPr txBox="1"/>
      </xdr:nvSpPr>
      <xdr:spPr>
        <a:xfrm>
          <a:off x="5943600" y="3087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165</xdr:row>
      <xdr:rowOff>90487</xdr:rowOff>
    </xdr:from>
    <xdr:ext cx="65" cy="172227"/>
    <xdr:sp macro="" textlink="">
      <xdr:nvSpPr>
        <xdr:cNvPr id="174" name="TextBox 173"/>
        <xdr:cNvSpPr txBox="1"/>
      </xdr:nvSpPr>
      <xdr:spPr>
        <a:xfrm>
          <a:off x="5943600" y="3087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165</xdr:row>
      <xdr:rowOff>90487</xdr:rowOff>
    </xdr:from>
    <xdr:ext cx="65" cy="172227"/>
    <xdr:sp macro="" textlink="">
      <xdr:nvSpPr>
        <xdr:cNvPr id="175" name="TextBox 174"/>
        <xdr:cNvSpPr txBox="1"/>
      </xdr:nvSpPr>
      <xdr:spPr>
        <a:xfrm>
          <a:off x="5943600" y="3087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165</xdr:row>
      <xdr:rowOff>90487</xdr:rowOff>
    </xdr:from>
    <xdr:ext cx="65" cy="172227"/>
    <xdr:sp macro="" textlink="">
      <xdr:nvSpPr>
        <xdr:cNvPr id="176" name="TextBox 175"/>
        <xdr:cNvSpPr txBox="1"/>
      </xdr:nvSpPr>
      <xdr:spPr>
        <a:xfrm>
          <a:off x="5943600" y="3087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165</xdr:row>
      <xdr:rowOff>90487</xdr:rowOff>
    </xdr:from>
    <xdr:ext cx="65" cy="172227"/>
    <xdr:sp macro="" textlink="">
      <xdr:nvSpPr>
        <xdr:cNvPr id="177" name="TextBox 176"/>
        <xdr:cNvSpPr txBox="1"/>
      </xdr:nvSpPr>
      <xdr:spPr>
        <a:xfrm>
          <a:off x="5943600" y="3087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161</xdr:row>
      <xdr:rowOff>90487</xdr:rowOff>
    </xdr:from>
    <xdr:ext cx="65" cy="172227"/>
    <xdr:sp macro="" textlink="">
      <xdr:nvSpPr>
        <xdr:cNvPr id="178" name="TextBox 177"/>
        <xdr:cNvSpPr txBox="1"/>
      </xdr:nvSpPr>
      <xdr:spPr>
        <a:xfrm>
          <a:off x="5943600" y="3011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161</xdr:row>
      <xdr:rowOff>90487</xdr:rowOff>
    </xdr:from>
    <xdr:ext cx="65" cy="172227"/>
    <xdr:sp macro="" textlink="">
      <xdr:nvSpPr>
        <xdr:cNvPr id="179" name="TextBox 178"/>
        <xdr:cNvSpPr txBox="1"/>
      </xdr:nvSpPr>
      <xdr:spPr>
        <a:xfrm>
          <a:off x="5943600" y="3011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161</xdr:row>
      <xdr:rowOff>90487</xdr:rowOff>
    </xdr:from>
    <xdr:ext cx="65" cy="172227"/>
    <xdr:sp macro="" textlink="">
      <xdr:nvSpPr>
        <xdr:cNvPr id="180" name="TextBox 179"/>
        <xdr:cNvSpPr txBox="1"/>
      </xdr:nvSpPr>
      <xdr:spPr>
        <a:xfrm>
          <a:off x="5943600" y="3011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161</xdr:row>
      <xdr:rowOff>90487</xdr:rowOff>
    </xdr:from>
    <xdr:ext cx="65" cy="172227"/>
    <xdr:sp macro="" textlink="">
      <xdr:nvSpPr>
        <xdr:cNvPr id="181" name="TextBox 180"/>
        <xdr:cNvSpPr txBox="1"/>
      </xdr:nvSpPr>
      <xdr:spPr>
        <a:xfrm>
          <a:off x="5943600" y="3011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161</xdr:row>
      <xdr:rowOff>90487</xdr:rowOff>
    </xdr:from>
    <xdr:ext cx="65" cy="172227"/>
    <xdr:sp macro="" textlink="">
      <xdr:nvSpPr>
        <xdr:cNvPr id="182" name="TextBox 181"/>
        <xdr:cNvSpPr txBox="1"/>
      </xdr:nvSpPr>
      <xdr:spPr>
        <a:xfrm>
          <a:off x="5943600" y="3011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161</xdr:row>
      <xdr:rowOff>90487</xdr:rowOff>
    </xdr:from>
    <xdr:ext cx="65" cy="172227"/>
    <xdr:sp macro="" textlink="">
      <xdr:nvSpPr>
        <xdr:cNvPr id="183" name="TextBox 182"/>
        <xdr:cNvSpPr txBox="1"/>
      </xdr:nvSpPr>
      <xdr:spPr>
        <a:xfrm>
          <a:off x="5943600" y="3011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161</xdr:row>
      <xdr:rowOff>90487</xdr:rowOff>
    </xdr:from>
    <xdr:ext cx="65" cy="172227"/>
    <xdr:sp macro="" textlink="">
      <xdr:nvSpPr>
        <xdr:cNvPr id="184" name="TextBox 183"/>
        <xdr:cNvSpPr txBox="1"/>
      </xdr:nvSpPr>
      <xdr:spPr>
        <a:xfrm>
          <a:off x="5943600" y="3011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161</xdr:row>
      <xdr:rowOff>90487</xdr:rowOff>
    </xdr:from>
    <xdr:ext cx="65" cy="172227"/>
    <xdr:sp macro="" textlink="">
      <xdr:nvSpPr>
        <xdr:cNvPr id="185" name="TextBox 184"/>
        <xdr:cNvSpPr txBox="1"/>
      </xdr:nvSpPr>
      <xdr:spPr>
        <a:xfrm>
          <a:off x="5943600" y="3011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169</xdr:row>
      <xdr:rowOff>90487</xdr:rowOff>
    </xdr:from>
    <xdr:ext cx="65" cy="172227"/>
    <xdr:sp macro="" textlink="">
      <xdr:nvSpPr>
        <xdr:cNvPr id="186" name="TextBox 185"/>
        <xdr:cNvSpPr txBox="1"/>
      </xdr:nvSpPr>
      <xdr:spPr>
        <a:xfrm>
          <a:off x="5943600" y="3163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169</xdr:row>
      <xdr:rowOff>90487</xdr:rowOff>
    </xdr:from>
    <xdr:ext cx="65" cy="172227"/>
    <xdr:sp macro="" textlink="">
      <xdr:nvSpPr>
        <xdr:cNvPr id="187" name="TextBox 186"/>
        <xdr:cNvSpPr txBox="1"/>
      </xdr:nvSpPr>
      <xdr:spPr>
        <a:xfrm>
          <a:off x="5943600" y="3163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169</xdr:row>
      <xdr:rowOff>90487</xdr:rowOff>
    </xdr:from>
    <xdr:ext cx="65" cy="172227"/>
    <xdr:sp macro="" textlink="">
      <xdr:nvSpPr>
        <xdr:cNvPr id="188" name="TextBox 187"/>
        <xdr:cNvSpPr txBox="1"/>
      </xdr:nvSpPr>
      <xdr:spPr>
        <a:xfrm>
          <a:off x="5943600" y="3163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169</xdr:row>
      <xdr:rowOff>90487</xdr:rowOff>
    </xdr:from>
    <xdr:ext cx="65" cy="172227"/>
    <xdr:sp macro="" textlink="">
      <xdr:nvSpPr>
        <xdr:cNvPr id="189" name="TextBox 188"/>
        <xdr:cNvSpPr txBox="1"/>
      </xdr:nvSpPr>
      <xdr:spPr>
        <a:xfrm>
          <a:off x="5943600" y="3163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169</xdr:row>
      <xdr:rowOff>90487</xdr:rowOff>
    </xdr:from>
    <xdr:ext cx="65" cy="172227"/>
    <xdr:sp macro="" textlink="">
      <xdr:nvSpPr>
        <xdr:cNvPr id="190" name="TextBox 189"/>
        <xdr:cNvSpPr txBox="1"/>
      </xdr:nvSpPr>
      <xdr:spPr>
        <a:xfrm>
          <a:off x="5943600" y="3163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169</xdr:row>
      <xdr:rowOff>90487</xdr:rowOff>
    </xdr:from>
    <xdr:ext cx="65" cy="172227"/>
    <xdr:sp macro="" textlink="">
      <xdr:nvSpPr>
        <xdr:cNvPr id="191" name="TextBox 190"/>
        <xdr:cNvSpPr txBox="1"/>
      </xdr:nvSpPr>
      <xdr:spPr>
        <a:xfrm>
          <a:off x="5943600" y="3163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169</xdr:row>
      <xdr:rowOff>90487</xdr:rowOff>
    </xdr:from>
    <xdr:ext cx="65" cy="172227"/>
    <xdr:sp macro="" textlink="">
      <xdr:nvSpPr>
        <xdr:cNvPr id="192" name="TextBox 191"/>
        <xdr:cNvSpPr txBox="1"/>
      </xdr:nvSpPr>
      <xdr:spPr>
        <a:xfrm>
          <a:off x="5943600" y="3163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169</xdr:row>
      <xdr:rowOff>90487</xdr:rowOff>
    </xdr:from>
    <xdr:ext cx="65" cy="172227"/>
    <xdr:sp macro="" textlink="">
      <xdr:nvSpPr>
        <xdr:cNvPr id="193" name="TextBox 192"/>
        <xdr:cNvSpPr txBox="1"/>
      </xdr:nvSpPr>
      <xdr:spPr>
        <a:xfrm>
          <a:off x="5943600" y="3163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173</xdr:row>
      <xdr:rowOff>90487</xdr:rowOff>
    </xdr:from>
    <xdr:ext cx="65" cy="172227"/>
    <xdr:sp macro="" textlink="">
      <xdr:nvSpPr>
        <xdr:cNvPr id="194" name="TextBox 193"/>
        <xdr:cNvSpPr txBox="1"/>
      </xdr:nvSpPr>
      <xdr:spPr>
        <a:xfrm>
          <a:off x="5943600" y="3239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173</xdr:row>
      <xdr:rowOff>90487</xdr:rowOff>
    </xdr:from>
    <xdr:ext cx="65" cy="172227"/>
    <xdr:sp macro="" textlink="">
      <xdr:nvSpPr>
        <xdr:cNvPr id="195" name="TextBox 194"/>
        <xdr:cNvSpPr txBox="1"/>
      </xdr:nvSpPr>
      <xdr:spPr>
        <a:xfrm>
          <a:off x="5943600" y="3239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173</xdr:row>
      <xdr:rowOff>90487</xdr:rowOff>
    </xdr:from>
    <xdr:ext cx="65" cy="172227"/>
    <xdr:sp macro="" textlink="">
      <xdr:nvSpPr>
        <xdr:cNvPr id="196" name="TextBox 195"/>
        <xdr:cNvSpPr txBox="1"/>
      </xdr:nvSpPr>
      <xdr:spPr>
        <a:xfrm>
          <a:off x="5943600" y="3239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173</xdr:row>
      <xdr:rowOff>90487</xdr:rowOff>
    </xdr:from>
    <xdr:ext cx="65" cy="172227"/>
    <xdr:sp macro="" textlink="">
      <xdr:nvSpPr>
        <xdr:cNvPr id="197" name="TextBox 196"/>
        <xdr:cNvSpPr txBox="1"/>
      </xdr:nvSpPr>
      <xdr:spPr>
        <a:xfrm>
          <a:off x="5943600" y="3239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173</xdr:row>
      <xdr:rowOff>90487</xdr:rowOff>
    </xdr:from>
    <xdr:ext cx="65" cy="172227"/>
    <xdr:sp macro="" textlink="">
      <xdr:nvSpPr>
        <xdr:cNvPr id="198" name="TextBox 197"/>
        <xdr:cNvSpPr txBox="1"/>
      </xdr:nvSpPr>
      <xdr:spPr>
        <a:xfrm>
          <a:off x="5943600" y="3239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173</xdr:row>
      <xdr:rowOff>90487</xdr:rowOff>
    </xdr:from>
    <xdr:ext cx="65" cy="172227"/>
    <xdr:sp macro="" textlink="">
      <xdr:nvSpPr>
        <xdr:cNvPr id="199" name="TextBox 198"/>
        <xdr:cNvSpPr txBox="1"/>
      </xdr:nvSpPr>
      <xdr:spPr>
        <a:xfrm>
          <a:off x="5943600" y="3239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173</xdr:row>
      <xdr:rowOff>90487</xdr:rowOff>
    </xdr:from>
    <xdr:ext cx="65" cy="172227"/>
    <xdr:sp macro="" textlink="">
      <xdr:nvSpPr>
        <xdr:cNvPr id="200" name="TextBox 199"/>
        <xdr:cNvSpPr txBox="1"/>
      </xdr:nvSpPr>
      <xdr:spPr>
        <a:xfrm>
          <a:off x="5943600" y="3239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173</xdr:row>
      <xdr:rowOff>90487</xdr:rowOff>
    </xdr:from>
    <xdr:ext cx="65" cy="172227"/>
    <xdr:sp macro="" textlink="">
      <xdr:nvSpPr>
        <xdr:cNvPr id="201" name="TextBox 200"/>
        <xdr:cNvSpPr txBox="1"/>
      </xdr:nvSpPr>
      <xdr:spPr>
        <a:xfrm>
          <a:off x="5943600" y="3239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181</xdr:row>
      <xdr:rowOff>90487</xdr:rowOff>
    </xdr:from>
    <xdr:ext cx="65" cy="172227"/>
    <xdr:sp macro="" textlink="">
      <xdr:nvSpPr>
        <xdr:cNvPr id="202" name="TextBox 201"/>
        <xdr:cNvSpPr txBox="1"/>
      </xdr:nvSpPr>
      <xdr:spPr>
        <a:xfrm>
          <a:off x="5943600" y="3392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181</xdr:row>
      <xdr:rowOff>90487</xdr:rowOff>
    </xdr:from>
    <xdr:ext cx="65" cy="172227"/>
    <xdr:sp macro="" textlink="">
      <xdr:nvSpPr>
        <xdr:cNvPr id="203" name="TextBox 202"/>
        <xdr:cNvSpPr txBox="1"/>
      </xdr:nvSpPr>
      <xdr:spPr>
        <a:xfrm>
          <a:off x="5943600" y="3392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181</xdr:row>
      <xdr:rowOff>90487</xdr:rowOff>
    </xdr:from>
    <xdr:ext cx="65" cy="172227"/>
    <xdr:sp macro="" textlink="">
      <xdr:nvSpPr>
        <xdr:cNvPr id="204" name="TextBox 203"/>
        <xdr:cNvSpPr txBox="1"/>
      </xdr:nvSpPr>
      <xdr:spPr>
        <a:xfrm>
          <a:off x="5943600" y="3392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181</xdr:row>
      <xdr:rowOff>90487</xdr:rowOff>
    </xdr:from>
    <xdr:ext cx="65" cy="172227"/>
    <xdr:sp macro="" textlink="">
      <xdr:nvSpPr>
        <xdr:cNvPr id="205" name="TextBox 204"/>
        <xdr:cNvSpPr txBox="1"/>
      </xdr:nvSpPr>
      <xdr:spPr>
        <a:xfrm>
          <a:off x="5943600" y="3392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181</xdr:row>
      <xdr:rowOff>90487</xdr:rowOff>
    </xdr:from>
    <xdr:ext cx="65" cy="172227"/>
    <xdr:sp macro="" textlink="">
      <xdr:nvSpPr>
        <xdr:cNvPr id="206" name="TextBox 205"/>
        <xdr:cNvSpPr txBox="1"/>
      </xdr:nvSpPr>
      <xdr:spPr>
        <a:xfrm>
          <a:off x="5943600" y="3392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181</xdr:row>
      <xdr:rowOff>90487</xdr:rowOff>
    </xdr:from>
    <xdr:ext cx="65" cy="172227"/>
    <xdr:sp macro="" textlink="">
      <xdr:nvSpPr>
        <xdr:cNvPr id="207" name="TextBox 206"/>
        <xdr:cNvSpPr txBox="1"/>
      </xdr:nvSpPr>
      <xdr:spPr>
        <a:xfrm>
          <a:off x="5943600" y="3392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181</xdr:row>
      <xdr:rowOff>90487</xdr:rowOff>
    </xdr:from>
    <xdr:ext cx="65" cy="172227"/>
    <xdr:sp macro="" textlink="">
      <xdr:nvSpPr>
        <xdr:cNvPr id="208" name="TextBox 207"/>
        <xdr:cNvSpPr txBox="1"/>
      </xdr:nvSpPr>
      <xdr:spPr>
        <a:xfrm>
          <a:off x="5943600" y="3392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181</xdr:row>
      <xdr:rowOff>90487</xdr:rowOff>
    </xdr:from>
    <xdr:ext cx="65" cy="172227"/>
    <xdr:sp macro="" textlink="">
      <xdr:nvSpPr>
        <xdr:cNvPr id="209" name="TextBox 208"/>
        <xdr:cNvSpPr txBox="1"/>
      </xdr:nvSpPr>
      <xdr:spPr>
        <a:xfrm>
          <a:off x="5943600" y="3392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185</xdr:row>
      <xdr:rowOff>90487</xdr:rowOff>
    </xdr:from>
    <xdr:ext cx="65" cy="172227"/>
    <xdr:sp macro="" textlink="">
      <xdr:nvSpPr>
        <xdr:cNvPr id="210" name="TextBox 209"/>
        <xdr:cNvSpPr txBox="1"/>
      </xdr:nvSpPr>
      <xdr:spPr>
        <a:xfrm>
          <a:off x="5943600" y="3468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185</xdr:row>
      <xdr:rowOff>90487</xdr:rowOff>
    </xdr:from>
    <xdr:ext cx="65" cy="172227"/>
    <xdr:sp macro="" textlink="">
      <xdr:nvSpPr>
        <xdr:cNvPr id="211" name="TextBox 210"/>
        <xdr:cNvSpPr txBox="1"/>
      </xdr:nvSpPr>
      <xdr:spPr>
        <a:xfrm>
          <a:off x="5943600" y="3468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185</xdr:row>
      <xdr:rowOff>90487</xdr:rowOff>
    </xdr:from>
    <xdr:ext cx="65" cy="172227"/>
    <xdr:sp macro="" textlink="">
      <xdr:nvSpPr>
        <xdr:cNvPr id="212" name="TextBox 211"/>
        <xdr:cNvSpPr txBox="1"/>
      </xdr:nvSpPr>
      <xdr:spPr>
        <a:xfrm>
          <a:off x="5943600" y="3468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185</xdr:row>
      <xdr:rowOff>90487</xdr:rowOff>
    </xdr:from>
    <xdr:ext cx="65" cy="172227"/>
    <xdr:sp macro="" textlink="">
      <xdr:nvSpPr>
        <xdr:cNvPr id="213" name="TextBox 212"/>
        <xdr:cNvSpPr txBox="1"/>
      </xdr:nvSpPr>
      <xdr:spPr>
        <a:xfrm>
          <a:off x="5943600" y="3468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185</xdr:row>
      <xdr:rowOff>90487</xdr:rowOff>
    </xdr:from>
    <xdr:ext cx="65" cy="172227"/>
    <xdr:sp macro="" textlink="">
      <xdr:nvSpPr>
        <xdr:cNvPr id="214" name="TextBox 213"/>
        <xdr:cNvSpPr txBox="1"/>
      </xdr:nvSpPr>
      <xdr:spPr>
        <a:xfrm>
          <a:off x="5943600" y="3468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185</xdr:row>
      <xdr:rowOff>90487</xdr:rowOff>
    </xdr:from>
    <xdr:ext cx="65" cy="172227"/>
    <xdr:sp macro="" textlink="">
      <xdr:nvSpPr>
        <xdr:cNvPr id="215" name="TextBox 214"/>
        <xdr:cNvSpPr txBox="1"/>
      </xdr:nvSpPr>
      <xdr:spPr>
        <a:xfrm>
          <a:off x="5943600" y="3468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185</xdr:row>
      <xdr:rowOff>90487</xdr:rowOff>
    </xdr:from>
    <xdr:ext cx="65" cy="172227"/>
    <xdr:sp macro="" textlink="">
      <xdr:nvSpPr>
        <xdr:cNvPr id="216" name="TextBox 215"/>
        <xdr:cNvSpPr txBox="1"/>
      </xdr:nvSpPr>
      <xdr:spPr>
        <a:xfrm>
          <a:off x="5943600" y="3468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185</xdr:row>
      <xdr:rowOff>90487</xdr:rowOff>
    </xdr:from>
    <xdr:ext cx="65" cy="172227"/>
    <xdr:sp macro="" textlink="">
      <xdr:nvSpPr>
        <xdr:cNvPr id="217" name="TextBox 216"/>
        <xdr:cNvSpPr txBox="1"/>
      </xdr:nvSpPr>
      <xdr:spPr>
        <a:xfrm>
          <a:off x="5943600" y="3468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177</xdr:row>
      <xdr:rowOff>90487</xdr:rowOff>
    </xdr:from>
    <xdr:ext cx="65" cy="172227"/>
    <xdr:sp macro="" textlink="">
      <xdr:nvSpPr>
        <xdr:cNvPr id="218" name="TextBox 217"/>
        <xdr:cNvSpPr txBox="1"/>
      </xdr:nvSpPr>
      <xdr:spPr>
        <a:xfrm>
          <a:off x="5943600" y="3316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177</xdr:row>
      <xdr:rowOff>90487</xdr:rowOff>
    </xdr:from>
    <xdr:ext cx="65" cy="172227"/>
    <xdr:sp macro="" textlink="">
      <xdr:nvSpPr>
        <xdr:cNvPr id="219" name="TextBox 218"/>
        <xdr:cNvSpPr txBox="1"/>
      </xdr:nvSpPr>
      <xdr:spPr>
        <a:xfrm>
          <a:off x="5943600" y="3316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177</xdr:row>
      <xdr:rowOff>90487</xdr:rowOff>
    </xdr:from>
    <xdr:ext cx="65" cy="172227"/>
    <xdr:sp macro="" textlink="">
      <xdr:nvSpPr>
        <xdr:cNvPr id="220" name="TextBox 219"/>
        <xdr:cNvSpPr txBox="1"/>
      </xdr:nvSpPr>
      <xdr:spPr>
        <a:xfrm>
          <a:off x="5943600" y="3316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177</xdr:row>
      <xdr:rowOff>90487</xdr:rowOff>
    </xdr:from>
    <xdr:ext cx="65" cy="172227"/>
    <xdr:sp macro="" textlink="">
      <xdr:nvSpPr>
        <xdr:cNvPr id="221" name="TextBox 220"/>
        <xdr:cNvSpPr txBox="1"/>
      </xdr:nvSpPr>
      <xdr:spPr>
        <a:xfrm>
          <a:off x="5943600" y="3316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177</xdr:row>
      <xdr:rowOff>90487</xdr:rowOff>
    </xdr:from>
    <xdr:ext cx="65" cy="172227"/>
    <xdr:sp macro="" textlink="">
      <xdr:nvSpPr>
        <xdr:cNvPr id="222" name="TextBox 221"/>
        <xdr:cNvSpPr txBox="1"/>
      </xdr:nvSpPr>
      <xdr:spPr>
        <a:xfrm>
          <a:off x="5943600" y="3316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177</xdr:row>
      <xdr:rowOff>90487</xdr:rowOff>
    </xdr:from>
    <xdr:ext cx="65" cy="172227"/>
    <xdr:sp macro="" textlink="">
      <xdr:nvSpPr>
        <xdr:cNvPr id="223" name="TextBox 222"/>
        <xdr:cNvSpPr txBox="1"/>
      </xdr:nvSpPr>
      <xdr:spPr>
        <a:xfrm>
          <a:off x="5943600" y="3316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177</xdr:row>
      <xdr:rowOff>90487</xdr:rowOff>
    </xdr:from>
    <xdr:ext cx="65" cy="172227"/>
    <xdr:sp macro="" textlink="">
      <xdr:nvSpPr>
        <xdr:cNvPr id="224" name="TextBox 223"/>
        <xdr:cNvSpPr txBox="1"/>
      </xdr:nvSpPr>
      <xdr:spPr>
        <a:xfrm>
          <a:off x="5943600" y="3316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177</xdr:row>
      <xdr:rowOff>90487</xdr:rowOff>
    </xdr:from>
    <xdr:ext cx="65" cy="172227"/>
    <xdr:sp macro="" textlink="">
      <xdr:nvSpPr>
        <xdr:cNvPr id="225" name="TextBox 224"/>
        <xdr:cNvSpPr txBox="1"/>
      </xdr:nvSpPr>
      <xdr:spPr>
        <a:xfrm>
          <a:off x="5943600" y="3316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193</xdr:row>
      <xdr:rowOff>90487</xdr:rowOff>
    </xdr:from>
    <xdr:ext cx="65" cy="172227"/>
    <xdr:sp macro="" textlink="">
      <xdr:nvSpPr>
        <xdr:cNvPr id="226" name="TextBox 225"/>
        <xdr:cNvSpPr txBox="1"/>
      </xdr:nvSpPr>
      <xdr:spPr>
        <a:xfrm>
          <a:off x="5943600" y="3620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193</xdr:row>
      <xdr:rowOff>90487</xdr:rowOff>
    </xdr:from>
    <xdr:ext cx="65" cy="172227"/>
    <xdr:sp macro="" textlink="">
      <xdr:nvSpPr>
        <xdr:cNvPr id="227" name="TextBox 226"/>
        <xdr:cNvSpPr txBox="1"/>
      </xdr:nvSpPr>
      <xdr:spPr>
        <a:xfrm>
          <a:off x="5943600" y="3620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193</xdr:row>
      <xdr:rowOff>90487</xdr:rowOff>
    </xdr:from>
    <xdr:ext cx="65" cy="172227"/>
    <xdr:sp macro="" textlink="">
      <xdr:nvSpPr>
        <xdr:cNvPr id="228" name="TextBox 227"/>
        <xdr:cNvSpPr txBox="1"/>
      </xdr:nvSpPr>
      <xdr:spPr>
        <a:xfrm>
          <a:off x="5943600" y="3620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193</xdr:row>
      <xdr:rowOff>90487</xdr:rowOff>
    </xdr:from>
    <xdr:ext cx="65" cy="172227"/>
    <xdr:sp macro="" textlink="">
      <xdr:nvSpPr>
        <xdr:cNvPr id="229" name="TextBox 228"/>
        <xdr:cNvSpPr txBox="1"/>
      </xdr:nvSpPr>
      <xdr:spPr>
        <a:xfrm>
          <a:off x="5943600" y="3620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197</xdr:row>
      <xdr:rowOff>90487</xdr:rowOff>
    </xdr:from>
    <xdr:ext cx="65" cy="172227"/>
    <xdr:sp macro="" textlink="">
      <xdr:nvSpPr>
        <xdr:cNvPr id="230" name="TextBox 229"/>
        <xdr:cNvSpPr txBox="1"/>
      </xdr:nvSpPr>
      <xdr:spPr>
        <a:xfrm>
          <a:off x="5943600" y="3697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197</xdr:row>
      <xdr:rowOff>90487</xdr:rowOff>
    </xdr:from>
    <xdr:ext cx="65" cy="172227"/>
    <xdr:sp macro="" textlink="">
      <xdr:nvSpPr>
        <xdr:cNvPr id="231" name="TextBox 230"/>
        <xdr:cNvSpPr txBox="1"/>
      </xdr:nvSpPr>
      <xdr:spPr>
        <a:xfrm>
          <a:off x="5943600" y="3697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197</xdr:row>
      <xdr:rowOff>90487</xdr:rowOff>
    </xdr:from>
    <xdr:ext cx="65" cy="172227"/>
    <xdr:sp macro="" textlink="">
      <xdr:nvSpPr>
        <xdr:cNvPr id="232" name="TextBox 231"/>
        <xdr:cNvSpPr txBox="1"/>
      </xdr:nvSpPr>
      <xdr:spPr>
        <a:xfrm>
          <a:off x="5943600" y="3697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197</xdr:row>
      <xdr:rowOff>90487</xdr:rowOff>
    </xdr:from>
    <xdr:ext cx="65" cy="172227"/>
    <xdr:sp macro="" textlink="">
      <xdr:nvSpPr>
        <xdr:cNvPr id="233" name="TextBox 232"/>
        <xdr:cNvSpPr txBox="1"/>
      </xdr:nvSpPr>
      <xdr:spPr>
        <a:xfrm>
          <a:off x="5943600" y="3697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197</xdr:row>
      <xdr:rowOff>90487</xdr:rowOff>
    </xdr:from>
    <xdr:ext cx="65" cy="172227"/>
    <xdr:sp macro="" textlink="">
      <xdr:nvSpPr>
        <xdr:cNvPr id="234" name="TextBox 233"/>
        <xdr:cNvSpPr txBox="1"/>
      </xdr:nvSpPr>
      <xdr:spPr>
        <a:xfrm>
          <a:off x="5943600" y="3697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197</xdr:row>
      <xdr:rowOff>90487</xdr:rowOff>
    </xdr:from>
    <xdr:ext cx="65" cy="172227"/>
    <xdr:sp macro="" textlink="">
      <xdr:nvSpPr>
        <xdr:cNvPr id="235" name="TextBox 234"/>
        <xdr:cNvSpPr txBox="1"/>
      </xdr:nvSpPr>
      <xdr:spPr>
        <a:xfrm>
          <a:off x="5943600" y="3697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201</xdr:row>
      <xdr:rowOff>90487</xdr:rowOff>
    </xdr:from>
    <xdr:ext cx="65" cy="172227"/>
    <xdr:sp macro="" textlink="">
      <xdr:nvSpPr>
        <xdr:cNvPr id="236" name="TextBox 235"/>
        <xdr:cNvSpPr txBox="1"/>
      </xdr:nvSpPr>
      <xdr:spPr>
        <a:xfrm>
          <a:off x="5943600" y="3773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201</xdr:row>
      <xdr:rowOff>90487</xdr:rowOff>
    </xdr:from>
    <xdr:ext cx="65" cy="172227"/>
    <xdr:sp macro="" textlink="">
      <xdr:nvSpPr>
        <xdr:cNvPr id="237" name="TextBox 236"/>
        <xdr:cNvSpPr txBox="1"/>
      </xdr:nvSpPr>
      <xdr:spPr>
        <a:xfrm>
          <a:off x="5943600" y="3773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201</xdr:row>
      <xdr:rowOff>90487</xdr:rowOff>
    </xdr:from>
    <xdr:ext cx="65" cy="172227"/>
    <xdr:sp macro="" textlink="">
      <xdr:nvSpPr>
        <xdr:cNvPr id="238" name="TextBox 237"/>
        <xdr:cNvSpPr txBox="1"/>
      </xdr:nvSpPr>
      <xdr:spPr>
        <a:xfrm>
          <a:off x="5943600" y="3773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201</xdr:row>
      <xdr:rowOff>90487</xdr:rowOff>
    </xdr:from>
    <xdr:ext cx="65" cy="172227"/>
    <xdr:sp macro="" textlink="">
      <xdr:nvSpPr>
        <xdr:cNvPr id="239" name="TextBox 238"/>
        <xdr:cNvSpPr txBox="1"/>
      </xdr:nvSpPr>
      <xdr:spPr>
        <a:xfrm>
          <a:off x="5943600" y="3773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201</xdr:row>
      <xdr:rowOff>90487</xdr:rowOff>
    </xdr:from>
    <xdr:ext cx="65" cy="172227"/>
    <xdr:sp macro="" textlink="">
      <xdr:nvSpPr>
        <xdr:cNvPr id="240" name="TextBox 239"/>
        <xdr:cNvSpPr txBox="1"/>
      </xdr:nvSpPr>
      <xdr:spPr>
        <a:xfrm>
          <a:off x="5943600" y="3773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201</xdr:row>
      <xdr:rowOff>90487</xdr:rowOff>
    </xdr:from>
    <xdr:ext cx="65" cy="172227"/>
    <xdr:sp macro="" textlink="">
      <xdr:nvSpPr>
        <xdr:cNvPr id="241" name="TextBox 240"/>
        <xdr:cNvSpPr txBox="1"/>
      </xdr:nvSpPr>
      <xdr:spPr>
        <a:xfrm>
          <a:off x="5943600" y="3773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242" name="TextBox 241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243" name="TextBox 242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244" name="TextBox 243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245" name="TextBox 244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246" name="TextBox 245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247" name="TextBox 246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189</xdr:row>
      <xdr:rowOff>90487</xdr:rowOff>
    </xdr:from>
    <xdr:ext cx="65" cy="172227"/>
    <xdr:sp macro="" textlink="">
      <xdr:nvSpPr>
        <xdr:cNvPr id="248" name="TextBox 247"/>
        <xdr:cNvSpPr txBox="1"/>
      </xdr:nvSpPr>
      <xdr:spPr>
        <a:xfrm>
          <a:off x="5943600" y="3544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189</xdr:row>
      <xdr:rowOff>90487</xdr:rowOff>
    </xdr:from>
    <xdr:ext cx="65" cy="172227"/>
    <xdr:sp macro="" textlink="">
      <xdr:nvSpPr>
        <xdr:cNvPr id="249" name="TextBox 248"/>
        <xdr:cNvSpPr txBox="1"/>
      </xdr:nvSpPr>
      <xdr:spPr>
        <a:xfrm>
          <a:off x="5943600" y="3544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189</xdr:row>
      <xdr:rowOff>90487</xdr:rowOff>
    </xdr:from>
    <xdr:ext cx="65" cy="172227"/>
    <xdr:sp macro="" textlink="">
      <xdr:nvSpPr>
        <xdr:cNvPr id="250" name="TextBox 249"/>
        <xdr:cNvSpPr txBox="1"/>
      </xdr:nvSpPr>
      <xdr:spPr>
        <a:xfrm>
          <a:off x="5943600" y="3544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189</xdr:row>
      <xdr:rowOff>90487</xdr:rowOff>
    </xdr:from>
    <xdr:ext cx="65" cy="172227"/>
    <xdr:sp macro="" textlink="">
      <xdr:nvSpPr>
        <xdr:cNvPr id="251" name="TextBox 250"/>
        <xdr:cNvSpPr txBox="1"/>
      </xdr:nvSpPr>
      <xdr:spPr>
        <a:xfrm>
          <a:off x="5943600" y="3544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189</xdr:row>
      <xdr:rowOff>90487</xdr:rowOff>
    </xdr:from>
    <xdr:ext cx="65" cy="172227"/>
    <xdr:sp macro="" textlink="">
      <xdr:nvSpPr>
        <xdr:cNvPr id="252" name="TextBox 251"/>
        <xdr:cNvSpPr txBox="1"/>
      </xdr:nvSpPr>
      <xdr:spPr>
        <a:xfrm>
          <a:off x="5943600" y="3544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189</xdr:row>
      <xdr:rowOff>90487</xdr:rowOff>
    </xdr:from>
    <xdr:ext cx="65" cy="172227"/>
    <xdr:sp macro="" textlink="">
      <xdr:nvSpPr>
        <xdr:cNvPr id="253" name="TextBox 252"/>
        <xdr:cNvSpPr txBox="1"/>
      </xdr:nvSpPr>
      <xdr:spPr>
        <a:xfrm>
          <a:off x="5943600" y="3544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189</xdr:row>
      <xdr:rowOff>90487</xdr:rowOff>
    </xdr:from>
    <xdr:ext cx="65" cy="172227"/>
    <xdr:sp macro="" textlink="">
      <xdr:nvSpPr>
        <xdr:cNvPr id="254" name="TextBox 253"/>
        <xdr:cNvSpPr txBox="1"/>
      </xdr:nvSpPr>
      <xdr:spPr>
        <a:xfrm>
          <a:off x="5943600" y="3544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189</xdr:row>
      <xdr:rowOff>90487</xdr:rowOff>
    </xdr:from>
    <xdr:ext cx="65" cy="172227"/>
    <xdr:sp macro="" textlink="">
      <xdr:nvSpPr>
        <xdr:cNvPr id="255" name="TextBox 254"/>
        <xdr:cNvSpPr txBox="1"/>
      </xdr:nvSpPr>
      <xdr:spPr>
        <a:xfrm>
          <a:off x="5943600" y="3544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189</xdr:row>
      <xdr:rowOff>90487</xdr:rowOff>
    </xdr:from>
    <xdr:ext cx="65" cy="172227"/>
    <xdr:sp macro="" textlink="">
      <xdr:nvSpPr>
        <xdr:cNvPr id="256" name="TextBox 255"/>
        <xdr:cNvSpPr txBox="1"/>
      </xdr:nvSpPr>
      <xdr:spPr>
        <a:xfrm>
          <a:off x="5943600" y="3544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189</xdr:row>
      <xdr:rowOff>90487</xdr:rowOff>
    </xdr:from>
    <xdr:ext cx="65" cy="172227"/>
    <xdr:sp macro="" textlink="">
      <xdr:nvSpPr>
        <xdr:cNvPr id="257" name="TextBox 256"/>
        <xdr:cNvSpPr txBox="1"/>
      </xdr:nvSpPr>
      <xdr:spPr>
        <a:xfrm>
          <a:off x="5943600" y="3544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189</xdr:row>
      <xdr:rowOff>90487</xdr:rowOff>
    </xdr:from>
    <xdr:ext cx="65" cy="172227"/>
    <xdr:sp macro="" textlink="">
      <xdr:nvSpPr>
        <xdr:cNvPr id="258" name="TextBox 257"/>
        <xdr:cNvSpPr txBox="1"/>
      </xdr:nvSpPr>
      <xdr:spPr>
        <a:xfrm>
          <a:off x="5943600" y="3544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189</xdr:row>
      <xdr:rowOff>90487</xdr:rowOff>
    </xdr:from>
    <xdr:ext cx="65" cy="172227"/>
    <xdr:sp macro="" textlink="">
      <xdr:nvSpPr>
        <xdr:cNvPr id="259" name="TextBox 258"/>
        <xdr:cNvSpPr txBox="1"/>
      </xdr:nvSpPr>
      <xdr:spPr>
        <a:xfrm>
          <a:off x="5943600" y="3544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193</xdr:row>
      <xdr:rowOff>90487</xdr:rowOff>
    </xdr:from>
    <xdr:ext cx="65" cy="172227"/>
    <xdr:sp macro="" textlink="">
      <xdr:nvSpPr>
        <xdr:cNvPr id="260" name="TextBox 259"/>
        <xdr:cNvSpPr txBox="1"/>
      </xdr:nvSpPr>
      <xdr:spPr>
        <a:xfrm>
          <a:off x="5943600" y="3620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193</xdr:row>
      <xdr:rowOff>90487</xdr:rowOff>
    </xdr:from>
    <xdr:ext cx="65" cy="172227"/>
    <xdr:sp macro="" textlink="">
      <xdr:nvSpPr>
        <xdr:cNvPr id="261" name="TextBox 260"/>
        <xdr:cNvSpPr txBox="1"/>
      </xdr:nvSpPr>
      <xdr:spPr>
        <a:xfrm>
          <a:off x="5943600" y="3620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193</xdr:row>
      <xdr:rowOff>90487</xdr:rowOff>
    </xdr:from>
    <xdr:ext cx="65" cy="172227"/>
    <xdr:sp macro="" textlink="">
      <xdr:nvSpPr>
        <xdr:cNvPr id="262" name="TextBox 261"/>
        <xdr:cNvSpPr txBox="1"/>
      </xdr:nvSpPr>
      <xdr:spPr>
        <a:xfrm>
          <a:off x="5943600" y="3620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193</xdr:row>
      <xdr:rowOff>90487</xdr:rowOff>
    </xdr:from>
    <xdr:ext cx="65" cy="172227"/>
    <xdr:sp macro="" textlink="">
      <xdr:nvSpPr>
        <xdr:cNvPr id="263" name="TextBox 262"/>
        <xdr:cNvSpPr txBox="1"/>
      </xdr:nvSpPr>
      <xdr:spPr>
        <a:xfrm>
          <a:off x="5943600" y="3620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193</xdr:row>
      <xdr:rowOff>90487</xdr:rowOff>
    </xdr:from>
    <xdr:ext cx="65" cy="172227"/>
    <xdr:sp macro="" textlink="">
      <xdr:nvSpPr>
        <xdr:cNvPr id="264" name="TextBox 263"/>
        <xdr:cNvSpPr txBox="1"/>
      </xdr:nvSpPr>
      <xdr:spPr>
        <a:xfrm>
          <a:off x="5943600" y="3620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193</xdr:row>
      <xdr:rowOff>90487</xdr:rowOff>
    </xdr:from>
    <xdr:ext cx="65" cy="172227"/>
    <xdr:sp macro="" textlink="">
      <xdr:nvSpPr>
        <xdr:cNvPr id="265" name="TextBox 264"/>
        <xdr:cNvSpPr txBox="1"/>
      </xdr:nvSpPr>
      <xdr:spPr>
        <a:xfrm>
          <a:off x="5943600" y="3620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193</xdr:row>
      <xdr:rowOff>90487</xdr:rowOff>
    </xdr:from>
    <xdr:ext cx="65" cy="172227"/>
    <xdr:sp macro="" textlink="">
      <xdr:nvSpPr>
        <xdr:cNvPr id="266" name="TextBox 265"/>
        <xdr:cNvSpPr txBox="1"/>
      </xdr:nvSpPr>
      <xdr:spPr>
        <a:xfrm>
          <a:off x="5943600" y="3620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193</xdr:row>
      <xdr:rowOff>90487</xdr:rowOff>
    </xdr:from>
    <xdr:ext cx="65" cy="172227"/>
    <xdr:sp macro="" textlink="">
      <xdr:nvSpPr>
        <xdr:cNvPr id="267" name="TextBox 266"/>
        <xdr:cNvSpPr txBox="1"/>
      </xdr:nvSpPr>
      <xdr:spPr>
        <a:xfrm>
          <a:off x="5943600" y="3620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197</xdr:row>
      <xdr:rowOff>90487</xdr:rowOff>
    </xdr:from>
    <xdr:ext cx="65" cy="172227"/>
    <xdr:sp macro="" textlink="">
      <xdr:nvSpPr>
        <xdr:cNvPr id="268" name="TextBox 267"/>
        <xdr:cNvSpPr txBox="1"/>
      </xdr:nvSpPr>
      <xdr:spPr>
        <a:xfrm>
          <a:off x="5943600" y="3697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197</xdr:row>
      <xdr:rowOff>90487</xdr:rowOff>
    </xdr:from>
    <xdr:ext cx="65" cy="172227"/>
    <xdr:sp macro="" textlink="">
      <xdr:nvSpPr>
        <xdr:cNvPr id="269" name="TextBox 268"/>
        <xdr:cNvSpPr txBox="1"/>
      </xdr:nvSpPr>
      <xdr:spPr>
        <a:xfrm>
          <a:off x="5943600" y="3697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197</xdr:row>
      <xdr:rowOff>90487</xdr:rowOff>
    </xdr:from>
    <xdr:ext cx="65" cy="172227"/>
    <xdr:sp macro="" textlink="">
      <xdr:nvSpPr>
        <xdr:cNvPr id="270" name="TextBox 269"/>
        <xdr:cNvSpPr txBox="1"/>
      </xdr:nvSpPr>
      <xdr:spPr>
        <a:xfrm>
          <a:off x="5943600" y="3697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197</xdr:row>
      <xdr:rowOff>90487</xdr:rowOff>
    </xdr:from>
    <xdr:ext cx="65" cy="172227"/>
    <xdr:sp macro="" textlink="">
      <xdr:nvSpPr>
        <xdr:cNvPr id="271" name="TextBox 270"/>
        <xdr:cNvSpPr txBox="1"/>
      </xdr:nvSpPr>
      <xdr:spPr>
        <a:xfrm>
          <a:off x="5943600" y="3697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197</xdr:row>
      <xdr:rowOff>90487</xdr:rowOff>
    </xdr:from>
    <xdr:ext cx="65" cy="172227"/>
    <xdr:sp macro="" textlink="">
      <xdr:nvSpPr>
        <xdr:cNvPr id="272" name="TextBox 271"/>
        <xdr:cNvSpPr txBox="1"/>
      </xdr:nvSpPr>
      <xdr:spPr>
        <a:xfrm>
          <a:off x="5943600" y="3697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197</xdr:row>
      <xdr:rowOff>90487</xdr:rowOff>
    </xdr:from>
    <xdr:ext cx="65" cy="172227"/>
    <xdr:sp macro="" textlink="">
      <xdr:nvSpPr>
        <xdr:cNvPr id="273" name="TextBox 272"/>
        <xdr:cNvSpPr txBox="1"/>
      </xdr:nvSpPr>
      <xdr:spPr>
        <a:xfrm>
          <a:off x="5943600" y="3697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197</xdr:row>
      <xdr:rowOff>90487</xdr:rowOff>
    </xdr:from>
    <xdr:ext cx="65" cy="172227"/>
    <xdr:sp macro="" textlink="">
      <xdr:nvSpPr>
        <xdr:cNvPr id="274" name="TextBox 273"/>
        <xdr:cNvSpPr txBox="1"/>
      </xdr:nvSpPr>
      <xdr:spPr>
        <a:xfrm>
          <a:off x="5943600" y="3697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197</xdr:row>
      <xdr:rowOff>90487</xdr:rowOff>
    </xdr:from>
    <xdr:ext cx="65" cy="172227"/>
    <xdr:sp macro="" textlink="">
      <xdr:nvSpPr>
        <xdr:cNvPr id="275" name="TextBox 274"/>
        <xdr:cNvSpPr txBox="1"/>
      </xdr:nvSpPr>
      <xdr:spPr>
        <a:xfrm>
          <a:off x="5943600" y="3697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197</xdr:row>
      <xdr:rowOff>90487</xdr:rowOff>
    </xdr:from>
    <xdr:ext cx="65" cy="172227"/>
    <xdr:sp macro="" textlink="">
      <xdr:nvSpPr>
        <xdr:cNvPr id="276" name="TextBox 275"/>
        <xdr:cNvSpPr txBox="1"/>
      </xdr:nvSpPr>
      <xdr:spPr>
        <a:xfrm>
          <a:off x="5943600" y="3697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197</xdr:row>
      <xdr:rowOff>90487</xdr:rowOff>
    </xdr:from>
    <xdr:ext cx="65" cy="172227"/>
    <xdr:sp macro="" textlink="">
      <xdr:nvSpPr>
        <xdr:cNvPr id="277" name="TextBox 276"/>
        <xdr:cNvSpPr txBox="1"/>
      </xdr:nvSpPr>
      <xdr:spPr>
        <a:xfrm>
          <a:off x="5943600" y="3697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197</xdr:row>
      <xdr:rowOff>90487</xdr:rowOff>
    </xdr:from>
    <xdr:ext cx="65" cy="172227"/>
    <xdr:sp macro="" textlink="">
      <xdr:nvSpPr>
        <xdr:cNvPr id="278" name="TextBox 277"/>
        <xdr:cNvSpPr txBox="1"/>
      </xdr:nvSpPr>
      <xdr:spPr>
        <a:xfrm>
          <a:off x="5943600" y="3697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197</xdr:row>
      <xdr:rowOff>90487</xdr:rowOff>
    </xdr:from>
    <xdr:ext cx="65" cy="172227"/>
    <xdr:sp macro="" textlink="">
      <xdr:nvSpPr>
        <xdr:cNvPr id="279" name="TextBox 278"/>
        <xdr:cNvSpPr txBox="1"/>
      </xdr:nvSpPr>
      <xdr:spPr>
        <a:xfrm>
          <a:off x="5943600" y="3697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201</xdr:row>
      <xdr:rowOff>90487</xdr:rowOff>
    </xdr:from>
    <xdr:ext cx="65" cy="172227"/>
    <xdr:sp macro="" textlink="">
      <xdr:nvSpPr>
        <xdr:cNvPr id="280" name="TextBox 279"/>
        <xdr:cNvSpPr txBox="1"/>
      </xdr:nvSpPr>
      <xdr:spPr>
        <a:xfrm>
          <a:off x="5943600" y="3773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201</xdr:row>
      <xdr:rowOff>90487</xdr:rowOff>
    </xdr:from>
    <xdr:ext cx="65" cy="172227"/>
    <xdr:sp macro="" textlink="">
      <xdr:nvSpPr>
        <xdr:cNvPr id="281" name="TextBox 280"/>
        <xdr:cNvSpPr txBox="1"/>
      </xdr:nvSpPr>
      <xdr:spPr>
        <a:xfrm>
          <a:off x="5943600" y="3773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201</xdr:row>
      <xdr:rowOff>90487</xdr:rowOff>
    </xdr:from>
    <xdr:ext cx="65" cy="172227"/>
    <xdr:sp macro="" textlink="">
      <xdr:nvSpPr>
        <xdr:cNvPr id="282" name="TextBox 281"/>
        <xdr:cNvSpPr txBox="1"/>
      </xdr:nvSpPr>
      <xdr:spPr>
        <a:xfrm>
          <a:off x="5943600" y="3773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201</xdr:row>
      <xdr:rowOff>90487</xdr:rowOff>
    </xdr:from>
    <xdr:ext cx="65" cy="172227"/>
    <xdr:sp macro="" textlink="">
      <xdr:nvSpPr>
        <xdr:cNvPr id="283" name="TextBox 282"/>
        <xdr:cNvSpPr txBox="1"/>
      </xdr:nvSpPr>
      <xdr:spPr>
        <a:xfrm>
          <a:off x="5943600" y="3773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201</xdr:row>
      <xdr:rowOff>90487</xdr:rowOff>
    </xdr:from>
    <xdr:ext cx="65" cy="172227"/>
    <xdr:sp macro="" textlink="">
      <xdr:nvSpPr>
        <xdr:cNvPr id="284" name="TextBox 283"/>
        <xdr:cNvSpPr txBox="1"/>
      </xdr:nvSpPr>
      <xdr:spPr>
        <a:xfrm>
          <a:off x="5943600" y="3773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201</xdr:row>
      <xdr:rowOff>90487</xdr:rowOff>
    </xdr:from>
    <xdr:ext cx="65" cy="172227"/>
    <xdr:sp macro="" textlink="">
      <xdr:nvSpPr>
        <xdr:cNvPr id="285" name="TextBox 284"/>
        <xdr:cNvSpPr txBox="1"/>
      </xdr:nvSpPr>
      <xdr:spPr>
        <a:xfrm>
          <a:off x="5943600" y="3773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201</xdr:row>
      <xdr:rowOff>90487</xdr:rowOff>
    </xdr:from>
    <xdr:ext cx="65" cy="172227"/>
    <xdr:sp macro="" textlink="">
      <xdr:nvSpPr>
        <xdr:cNvPr id="286" name="TextBox 285"/>
        <xdr:cNvSpPr txBox="1"/>
      </xdr:nvSpPr>
      <xdr:spPr>
        <a:xfrm>
          <a:off x="5943600" y="3773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201</xdr:row>
      <xdr:rowOff>90487</xdr:rowOff>
    </xdr:from>
    <xdr:ext cx="65" cy="172227"/>
    <xdr:sp macro="" textlink="">
      <xdr:nvSpPr>
        <xdr:cNvPr id="287" name="TextBox 286"/>
        <xdr:cNvSpPr txBox="1"/>
      </xdr:nvSpPr>
      <xdr:spPr>
        <a:xfrm>
          <a:off x="5943600" y="3773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201</xdr:row>
      <xdr:rowOff>90487</xdr:rowOff>
    </xdr:from>
    <xdr:ext cx="65" cy="172227"/>
    <xdr:sp macro="" textlink="">
      <xdr:nvSpPr>
        <xdr:cNvPr id="288" name="TextBox 287"/>
        <xdr:cNvSpPr txBox="1"/>
      </xdr:nvSpPr>
      <xdr:spPr>
        <a:xfrm>
          <a:off x="5943600" y="3773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201</xdr:row>
      <xdr:rowOff>90487</xdr:rowOff>
    </xdr:from>
    <xdr:ext cx="65" cy="172227"/>
    <xdr:sp macro="" textlink="">
      <xdr:nvSpPr>
        <xdr:cNvPr id="289" name="TextBox 288"/>
        <xdr:cNvSpPr txBox="1"/>
      </xdr:nvSpPr>
      <xdr:spPr>
        <a:xfrm>
          <a:off x="5943600" y="3773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201</xdr:row>
      <xdr:rowOff>90487</xdr:rowOff>
    </xdr:from>
    <xdr:ext cx="65" cy="172227"/>
    <xdr:sp macro="" textlink="">
      <xdr:nvSpPr>
        <xdr:cNvPr id="290" name="TextBox 289"/>
        <xdr:cNvSpPr txBox="1"/>
      </xdr:nvSpPr>
      <xdr:spPr>
        <a:xfrm>
          <a:off x="5943600" y="3773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201</xdr:row>
      <xdr:rowOff>90487</xdr:rowOff>
    </xdr:from>
    <xdr:ext cx="65" cy="172227"/>
    <xdr:sp macro="" textlink="">
      <xdr:nvSpPr>
        <xdr:cNvPr id="291" name="TextBox 290"/>
        <xdr:cNvSpPr txBox="1"/>
      </xdr:nvSpPr>
      <xdr:spPr>
        <a:xfrm>
          <a:off x="5943600" y="3773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292" name="TextBox 291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293" name="TextBox 292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294" name="TextBox 293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295" name="TextBox 294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296" name="TextBox 295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297" name="TextBox 296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298" name="TextBox 297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299" name="TextBox 298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300" name="TextBox 299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301" name="TextBox 300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302" name="TextBox 301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303" name="TextBox 302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304" name="TextBox 303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305" name="TextBox 304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306" name="TextBox 305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307" name="TextBox 306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308" name="TextBox 307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205</xdr:row>
      <xdr:rowOff>90487</xdr:rowOff>
    </xdr:from>
    <xdr:ext cx="65" cy="172227"/>
    <xdr:sp macro="" textlink="">
      <xdr:nvSpPr>
        <xdr:cNvPr id="309" name="TextBox 308"/>
        <xdr:cNvSpPr txBox="1"/>
      </xdr:nvSpPr>
      <xdr:spPr>
        <a:xfrm>
          <a:off x="5943600" y="3849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213</xdr:row>
      <xdr:rowOff>90487</xdr:rowOff>
    </xdr:from>
    <xdr:ext cx="65" cy="172227"/>
    <xdr:sp macro="" textlink="">
      <xdr:nvSpPr>
        <xdr:cNvPr id="310" name="TextBox 309"/>
        <xdr:cNvSpPr txBox="1"/>
      </xdr:nvSpPr>
      <xdr:spPr>
        <a:xfrm>
          <a:off x="5943600" y="4001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213</xdr:row>
      <xdr:rowOff>90487</xdr:rowOff>
    </xdr:from>
    <xdr:ext cx="65" cy="172227"/>
    <xdr:sp macro="" textlink="">
      <xdr:nvSpPr>
        <xdr:cNvPr id="311" name="TextBox 310"/>
        <xdr:cNvSpPr txBox="1"/>
      </xdr:nvSpPr>
      <xdr:spPr>
        <a:xfrm>
          <a:off x="5943600" y="4001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312" name="TextBox 311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313" name="TextBox 312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209</xdr:row>
      <xdr:rowOff>90487</xdr:rowOff>
    </xdr:from>
    <xdr:ext cx="65" cy="172227"/>
    <xdr:sp macro="" textlink="">
      <xdr:nvSpPr>
        <xdr:cNvPr id="314" name="TextBox 313"/>
        <xdr:cNvSpPr txBox="1"/>
      </xdr:nvSpPr>
      <xdr:spPr>
        <a:xfrm>
          <a:off x="5943600" y="3925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209</xdr:row>
      <xdr:rowOff>90487</xdr:rowOff>
    </xdr:from>
    <xdr:ext cx="65" cy="172227"/>
    <xdr:sp macro="" textlink="">
      <xdr:nvSpPr>
        <xdr:cNvPr id="315" name="TextBox 314"/>
        <xdr:cNvSpPr txBox="1"/>
      </xdr:nvSpPr>
      <xdr:spPr>
        <a:xfrm>
          <a:off x="5943600" y="3925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217</xdr:row>
      <xdr:rowOff>90487</xdr:rowOff>
    </xdr:from>
    <xdr:ext cx="65" cy="172227"/>
    <xdr:sp macro="" textlink="">
      <xdr:nvSpPr>
        <xdr:cNvPr id="316" name="TextBox 315"/>
        <xdr:cNvSpPr txBox="1"/>
      </xdr:nvSpPr>
      <xdr:spPr>
        <a:xfrm>
          <a:off x="5943600" y="407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217</xdr:row>
      <xdr:rowOff>90487</xdr:rowOff>
    </xdr:from>
    <xdr:ext cx="65" cy="172227"/>
    <xdr:sp macro="" textlink="">
      <xdr:nvSpPr>
        <xdr:cNvPr id="317" name="TextBox 316"/>
        <xdr:cNvSpPr txBox="1"/>
      </xdr:nvSpPr>
      <xdr:spPr>
        <a:xfrm>
          <a:off x="5943600" y="407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318" name="TextBox 317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319" name="TextBox 318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69</xdr:row>
      <xdr:rowOff>90487</xdr:rowOff>
    </xdr:from>
    <xdr:ext cx="65" cy="172227"/>
    <xdr:sp macro="" textlink="">
      <xdr:nvSpPr>
        <xdr:cNvPr id="320" name="TextBox 319"/>
        <xdr:cNvSpPr txBox="1"/>
      </xdr:nvSpPr>
      <xdr:spPr>
        <a:xfrm>
          <a:off x="5943600" y="1258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69</xdr:row>
      <xdr:rowOff>90487</xdr:rowOff>
    </xdr:from>
    <xdr:ext cx="65" cy="172227"/>
    <xdr:sp macro="" textlink="">
      <xdr:nvSpPr>
        <xdr:cNvPr id="321" name="TextBox 320"/>
        <xdr:cNvSpPr txBox="1"/>
      </xdr:nvSpPr>
      <xdr:spPr>
        <a:xfrm>
          <a:off x="5943600" y="1258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69</xdr:row>
      <xdr:rowOff>90487</xdr:rowOff>
    </xdr:from>
    <xdr:ext cx="65" cy="172227"/>
    <xdr:sp macro="" textlink="">
      <xdr:nvSpPr>
        <xdr:cNvPr id="322" name="TextBox 321"/>
        <xdr:cNvSpPr txBox="1"/>
      </xdr:nvSpPr>
      <xdr:spPr>
        <a:xfrm>
          <a:off x="5943600" y="1258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69</xdr:row>
      <xdr:rowOff>90487</xdr:rowOff>
    </xdr:from>
    <xdr:ext cx="65" cy="172227"/>
    <xdr:sp macro="" textlink="">
      <xdr:nvSpPr>
        <xdr:cNvPr id="323" name="TextBox 322"/>
        <xdr:cNvSpPr txBox="1"/>
      </xdr:nvSpPr>
      <xdr:spPr>
        <a:xfrm>
          <a:off x="5943600" y="1258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65</xdr:row>
      <xdr:rowOff>90487</xdr:rowOff>
    </xdr:from>
    <xdr:ext cx="65" cy="172227"/>
    <xdr:sp macro="" textlink="">
      <xdr:nvSpPr>
        <xdr:cNvPr id="324" name="TextBox 323"/>
        <xdr:cNvSpPr txBox="1"/>
      </xdr:nvSpPr>
      <xdr:spPr>
        <a:xfrm>
          <a:off x="5943600" y="1182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65</xdr:row>
      <xdr:rowOff>90487</xdr:rowOff>
    </xdr:from>
    <xdr:ext cx="65" cy="172227"/>
    <xdr:sp macro="" textlink="">
      <xdr:nvSpPr>
        <xdr:cNvPr id="325" name="TextBox 324"/>
        <xdr:cNvSpPr txBox="1"/>
      </xdr:nvSpPr>
      <xdr:spPr>
        <a:xfrm>
          <a:off x="5943600" y="1182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65</xdr:row>
      <xdr:rowOff>90487</xdr:rowOff>
    </xdr:from>
    <xdr:ext cx="65" cy="172227"/>
    <xdr:sp macro="" textlink="">
      <xdr:nvSpPr>
        <xdr:cNvPr id="326" name="TextBox 325"/>
        <xdr:cNvSpPr txBox="1"/>
      </xdr:nvSpPr>
      <xdr:spPr>
        <a:xfrm>
          <a:off x="5943600" y="1182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65</xdr:row>
      <xdr:rowOff>90487</xdr:rowOff>
    </xdr:from>
    <xdr:ext cx="65" cy="172227"/>
    <xdr:sp macro="" textlink="">
      <xdr:nvSpPr>
        <xdr:cNvPr id="327" name="TextBox 326"/>
        <xdr:cNvSpPr txBox="1"/>
      </xdr:nvSpPr>
      <xdr:spPr>
        <a:xfrm>
          <a:off x="5943600" y="1182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61</xdr:row>
      <xdr:rowOff>90487</xdr:rowOff>
    </xdr:from>
    <xdr:ext cx="65" cy="172227"/>
    <xdr:sp macro="" textlink="">
      <xdr:nvSpPr>
        <xdr:cNvPr id="328" name="TextBox 327"/>
        <xdr:cNvSpPr txBox="1"/>
      </xdr:nvSpPr>
      <xdr:spPr>
        <a:xfrm>
          <a:off x="5943600" y="1106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61</xdr:row>
      <xdr:rowOff>90487</xdr:rowOff>
    </xdr:from>
    <xdr:ext cx="65" cy="172227"/>
    <xdr:sp macro="" textlink="">
      <xdr:nvSpPr>
        <xdr:cNvPr id="329" name="TextBox 328"/>
        <xdr:cNvSpPr txBox="1"/>
      </xdr:nvSpPr>
      <xdr:spPr>
        <a:xfrm>
          <a:off x="5943600" y="1106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61</xdr:row>
      <xdr:rowOff>90487</xdr:rowOff>
    </xdr:from>
    <xdr:ext cx="65" cy="172227"/>
    <xdr:sp macro="" textlink="">
      <xdr:nvSpPr>
        <xdr:cNvPr id="330" name="TextBox 329"/>
        <xdr:cNvSpPr txBox="1"/>
      </xdr:nvSpPr>
      <xdr:spPr>
        <a:xfrm>
          <a:off x="5943600" y="1106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61</xdr:row>
      <xdr:rowOff>90487</xdr:rowOff>
    </xdr:from>
    <xdr:ext cx="65" cy="172227"/>
    <xdr:sp macro="" textlink="">
      <xdr:nvSpPr>
        <xdr:cNvPr id="331" name="TextBox 330"/>
        <xdr:cNvSpPr txBox="1"/>
      </xdr:nvSpPr>
      <xdr:spPr>
        <a:xfrm>
          <a:off x="5943600" y="1106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57</xdr:row>
      <xdr:rowOff>90487</xdr:rowOff>
    </xdr:from>
    <xdr:ext cx="65" cy="172227"/>
    <xdr:sp macro="" textlink="">
      <xdr:nvSpPr>
        <xdr:cNvPr id="332" name="TextBox 331"/>
        <xdr:cNvSpPr txBox="1"/>
      </xdr:nvSpPr>
      <xdr:spPr>
        <a:xfrm>
          <a:off x="5943600" y="1030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57</xdr:row>
      <xdr:rowOff>90487</xdr:rowOff>
    </xdr:from>
    <xdr:ext cx="65" cy="172227"/>
    <xdr:sp macro="" textlink="">
      <xdr:nvSpPr>
        <xdr:cNvPr id="333" name="TextBox 332"/>
        <xdr:cNvSpPr txBox="1"/>
      </xdr:nvSpPr>
      <xdr:spPr>
        <a:xfrm>
          <a:off x="5943600" y="1030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57</xdr:row>
      <xdr:rowOff>90487</xdr:rowOff>
    </xdr:from>
    <xdr:ext cx="65" cy="172227"/>
    <xdr:sp macro="" textlink="">
      <xdr:nvSpPr>
        <xdr:cNvPr id="334" name="TextBox 333"/>
        <xdr:cNvSpPr txBox="1"/>
      </xdr:nvSpPr>
      <xdr:spPr>
        <a:xfrm>
          <a:off x="5943600" y="1030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57</xdr:row>
      <xdr:rowOff>90487</xdr:rowOff>
    </xdr:from>
    <xdr:ext cx="65" cy="172227"/>
    <xdr:sp macro="" textlink="">
      <xdr:nvSpPr>
        <xdr:cNvPr id="335" name="TextBox 334"/>
        <xdr:cNvSpPr txBox="1"/>
      </xdr:nvSpPr>
      <xdr:spPr>
        <a:xfrm>
          <a:off x="5943600" y="1030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53</xdr:row>
      <xdr:rowOff>90487</xdr:rowOff>
    </xdr:from>
    <xdr:ext cx="65" cy="172227"/>
    <xdr:sp macro="" textlink="">
      <xdr:nvSpPr>
        <xdr:cNvPr id="336" name="TextBox 335"/>
        <xdr:cNvSpPr txBox="1"/>
      </xdr:nvSpPr>
      <xdr:spPr>
        <a:xfrm>
          <a:off x="5943600" y="953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53</xdr:row>
      <xdr:rowOff>90487</xdr:rowOff>
    </xdr:from>
    <xdr:ext cx="65" cy="172227"/>
    <xdr:sp macro="" textlink="">
      <xdr:nvSpPr>
        <xdr:cNvPr id="337" name="TextBox 336"/>
        <xdr:cNvSpPr txBox="1"/>
      </xdr:nvSpPr>
      <xdr:spPr>
        <a:xfrm>
          <a:off x="5943600" y="953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53</xdr:row>
      <xdr:rowOff>90487</xdr:rowOff>
    </xdr:from>
    <xdr:ext cx="65" cy="172227"/>
    <xdr:sp macro="" textlink="">
      <xdr:nvSpPr>
        <xdr:cNvPr id="338" name="TextBox 337"/>
        <xdr:cNvSpPr txBox="1"/>
      </xdr:nvSpPr>
      <xdr:spPr>
        <a:xfrm>
          <a:off x="5943600" y="953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53</xdr:row>
      <xdr:rowOff>90487</xdr:rowOff>
    </xdr:from>
    <xdr:ext cx="65" cy="172227"/>
    <xdr:sp macro="" textlink="">
      <xdr:nvSpPr>
        <xdr:cNvPr id="339" name="TextBox 338"/>
        <xdr:cNvSpPr txBox="1"/>
      </xdr:nvSpPr>
      <xdr:spPr>
        <a:xfrm>
          <a:off x="5943600" y="953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45</xdr:row>
      <xdr:rowOff>90487</xdr:rowOff>
    </xdr:from>
    <xdr:ext cx="65" cy="172227"/>
    <xdr:sp macro="" textlink="">
      <xdr:nvSpPr>
        <xdr:cNvPr id="340" name="TextBox 339"/>
        <xdr:cNvSpPr txBox="1"/>
      </xdr:nvSpPr>
      <xdr:spPr>
        <a:xfrm>
          <a:off x="5943600" y="80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45</xdr:row>
      <xdr:rowOff>90487</xdr:rowOff>
    </xdr:from>
    <xdr:ext cx="65" cy="172227"/>
    <xdr:sp macro="" textlink="">
      <xdr:nvSpPr>
        <xdr:cNvPr id="341" name="TextBox 340"/>
        <xdr:cNvSpPr txBox="1"/>
      </xdr:nvSpPr>
      <xdr:spPr>
        <a:xfrm>
          <a:off x="5943600" y="80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45</xdr:row>
      <xdr:rowOff>90487</xdr:rowOff>
    </xdr:from>
    <xdr:ext cx="65" cy="172227"/>
    <xdr:sp macro="" textlink="">
      <xdr:nvSpPr>
        <xdr:cNvPr id="342" name="TextBox 341"/>
        <xdr:cNvSpPr txBox="1"/>
      </xdr:nvSpPr>
      <xdr:spPr>
        <a:xfrm>
          <a:off x="5943600" y="80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45</xdr:row>
      <xdr:rowOff>90487</xdr:rowOff>
    </xdr:from>
    <xdr:ext cx="65" cy="172227"/>
    <xdr:sp macro="" textlink="">
      <xdr:nvSpPr>
        <xdr:cNvPr id="343" name="TextBox 342"/>
        <xdr:cNvSpPr txBox="1"/>
      </xdr:nvSpPr>
      <xdr:spPr>
        <a:xfrm>
          <a:off x="5943600" y="80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25</xdr:row>
      <xdr:rowOff>90487</xdr:rowOff>
    </xdr:from>
    <xdr:ext cx="65" cy="172227"/>
    <xdr:sp macro="" textlink="">
      <xdr:nvSpPr>
        <xdr:cNvPr id="344" name="TextBox 343"/>
        <xdr:cNvSpPr txBox="1"/>
      </xdr:nvSpPr>
      <xdr:spPr>
        <a:xfrm>
          <a:off x="5943600" y="41671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25</xdr:row>
      <xdr:rowOff>90487</xdr:rowOff>
    </xdr:from>
    <xdr:ext cx="65" cy="172227"/>
    <xdr:sp macro="" textlink="">
      <xdr:nvSpPr>
        <xdr:cNvPr id="345" name="TextBox 344"/>
        <xdr:cNvSpPr txBox="1"/>
      </xdr:nvSpPr>
      <xdr:spPr>
        <a:xfrm>
          <a:off x="5943600" y="41671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25</xdr:row>
      <xdr:rowOff>90487</xdr:rowOff>
    </xdr:from>
    <xdr:ext cx="65" cy="172227"/>
    <xdr:sp macro="" textlink="">
      <xdr:nvSpPr>
        <xdr:cNvPr id="346" name="TextBox 345"/>
        <xdr:cNvSpPr txBox="1"/>
      </xdr:nvSpPr>
      <xdr:spPr>
        <a:xfrm>
          <a:off x="5943600" y="41671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25</xdr:row>
      <xdr:rowOff>90487</xdr:rowOff>
    </xdr:from>
    <xdr:ext cx="65" cy="172227"/>
    <xdr:sp macro="" textlink="">
      <xdr:nvSpPr>
        <xdr:cNvPr id="347" name="TextBox 346"/>
        <xdr:cNvSpPr txBox="1"/>
      </xdr:nvSpPr>
      <xdr:spPr>
        <a:xfrm>
          <a:off x="5943600" y="41671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</xdr:row>
      <xdr:rowOff>90487</xdr:rowOff>
    </xdr:from>
    <xdr:ext cx="65" cy="172227"/>
    <xdr:sp macro="" textlink="">
      <xdr:nvSpPr>
        <xdr:cNvPr id="348" name="TextBox 347"/>
        <xdr:cNvSpPr txBox="1"/>
      </xdr:nvSpPr>
      <xdr:spPr>
        <a:xfrm>
          <a:off x="5943600" y="3357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</xdr:row>
      <xdr:rowOff>90487</xdr:rowOff>
    </xdr:from>
    <xdr:ext cx="65" cy="172227"/>
    <xdr:sp macro="" textlink="">
      <xdr:nvSpPr>
        <xdr:cNvPr id="349" name="TextBox 348"/>
        <xdr:cNvSpPr txBox="1"/>
      </xdr:nvSpPr>
      <xdr:spPr>
        <a:xfrm>
          <a:off x="5943600" y="3357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</xdr:row>
      <xdr:rowOff>90487</xdr:rowOff>
    </xdr:from>
    <xdr:ext cx="65" cy="172227"/>
    <xdr:sp macro="" textlink="">
      <xdr:nvSpPr>
        <xdr:cNvPr id="350" name="TextBox 349"/>
        <xdr:cNvSpPr txBox="1"/>
      </xdr:nvSpPr>
      <xdr:spPr>
        <a:xfrm>
          <a:off x="5943600" y="3357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</xdr:row>
      <xdr:rowOff>90487</xdr:rowOff>
    </xdr:from>
    <xdr:ext cx="65" cy="172227"/>
    <xdr:sp macro="" textlink="">
      <xdr:nvSpPr>
        <xdr:cNvPr id="351" name="TextBox 350"/>
        <xdr:cNvSpPr txBox="1"/>
      </xdr:nvSpPr>
      <xdr:spPr>
        <a:xfrm>
          <a:off x="5943600" y="3357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17</xdr:row>
      <xdr:rowOff>90487</xdr:rowOff>
    </xdr:from>
    <xdr:ext cx="65" cy="172227"/>
    <xdr:sp macro="" textlink="">
      <xdr:nvSpPr>
        <xdr:cNvPr id="352" name="TextBox 351"/>
        <xdr:cNvSpPr txBox="1"/>
      </xdr:nvSpPr>
      <xdr:spPr>
        <a:xfrm>
          <a:off x="5943600" y="25098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17</xdr:row>
      <xdr:rowOff>90487</xdr:rowOff>
    </xdr:from>
    <xdr:ext cx="65" cy="172227"/>
    <xdr:sp macro="" textlink="">
      <xdr:nvSpPr>
        <xdr:cNvPr id="353" name="TextBox 352"/>
        <xdr:cNvSpPr txBox="1"/>
      </xdr:nvSpPr>
      <xdr:spPr>
        <a:xfrm>
          <a:off x="5943600" y="25098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17</xdr:row>
      <xdr:rowOff>90487</xdr:rowOff>
    </xdr:from>
    <xdr:ext cx="65" cy="172227"/>
    <xdr:sp macro="" textlink="">
      <xdr:nvSpPr>
        <xdr:cNvPr id="354" name="TextBox 353"/>
        <xdr:cNvSpPr txBox="1"/>
      </xdr:nvSpPr>
      <xdr:spPr>
        <a:xfrm>
          <a:off x="5943600" y="25098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17</xdr:row>
      <xdr:rowOff>90487</xdr:rowOff>
    </xdr:from>
    <xdr:ext cx="65" cy="172227"/>
    <xdr:sp macro="" textlink="">
      <xdr:nvSpPr>
        <xdr:cNvPr id="355" name="TextBox 354"/>
        <xdr:cNvSpPr txBox="1"/>
      </xdr:nvSpPr>
      <xdr:spPr>
        <a:xfrm>
          <a:off x="5943600" y="25098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209</xdr:row>
      <xdr:rowOff>90487</xdr:rowOff>
    </xdr:from>
    <xdr:ext cx="65" cy="172227"/>
    <xdr:sp macro="" textlink="">
      <xdr:nvSpPr>
        <xdr:cNvPr id="356" name="TextBox 355"/>
        <xdr:cNvSpPr txBox="1"/>
      </xdr:nvSpPr>
      <xdr:spPr>
        <a:xfrm>
          <a:off x="5943600" y="3925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209</xdr:row>
      <xdr:rowOff>90487</xdr:rowOff>
    </xdr:from>
    <xdr:ext cx="65" cy="172227"/>
    <xdr:sp macro="" textlink="">
      <xdr:nvSpPr>
        <xdr:cNvPr id="357" name="TextBox 356"/>
        <xdr:cNvSpPr txBox="1"/>
      </xdr:nvSpPr>
      <xdr:spPr>
        <a:xfrm>
          <a:off x="5943600" y="3925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209</xdr:row>
      <xdr:rowOff>90487</xdr:rowOff>
    </xdr:from>
    <xdr:ext cx="65" cy="172227"/>
    <xdr:sp macro="" textlink="">
      <xdr:nvSpPr>
        <xdr:cNvPr id="358" name="TextBox 357"/>
        <xdr:cNvSpPr txBox="1"/>
      </xdr:nvSpPr>
      <xdr:spPr>
        <a:xfrm>
          <a:off x="5943600" y="3925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209</xdr:row>
      <xdr:rowOff>90487</xdr:rowOff>
    </xdr:from>
    <xdr:ext cx="65" cy="172227"/>
    <xdr:sp macro="" textlink="">
      <xdr:nvSpPr>
        <xdr:cNvPr id="359" name="TextBox 358"/>
        <xdr:cNvSpPr txBox="1"/>
      </xdr:nvSpPr>
      <xdr:spPr>
        <a:xfrm>
          <a:off x="5943600" y="3925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209</xdr:row>
      <xdr:rowOff>90487</xdr:rowOff>
    </xdr:from>
    <xdr:ext cx="65" cy="172227"/>
    <xdr:sp macro="" textlink="">
      <xdr:nvSpPr>
        <xdr:cNvPr id="360" name="TextBox 359"/>
        <xdr:cNvSpPr txBox="1"/>
      </xdr:nvSpPr>
      <xdr:spPr>
        <a:xfrm>
          <a:off x="5943600" y="3925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209</xdr:row>
      <xdr:rowOff>90487</xdr:rowOff>
    </xdr:from>
    <xdr:ext cx="65" cy="172227"/>
    <xdr:sp macro="" textlink="">
      <xdr:nvSpPr>
        <xdr:cNvPr id="361" name="TextBox 360"/>
        <xdr:cNvSpPr txBox="1"/>
      </xdr:nvSpPr>
      <xdr:spPr>
        <a:xfrm>
          <a:off x="5943600" y="3925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209</xdr:row>
      <xdr:rowOff>90487</xdr:rowOff>
    </xdr:from>
    <xdr:ext cx="65" cy="172227"/>
    <xdr:sp macro="" textlink="">
      <xdr:nvSpPr>
        <xdr:cNvPr id="362" name="TextBox 361"/>
        <xdr:cNvSpPr txBox="1"/>
      </xdr:nvSpPr>
      <xdr:spPr>
        <a:xfrm>
          <a:off x="5943600" y="3925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209</xdr:row>
      <xdr:rowOff>90487</xdr:rowOff>
    </xdr:from>
    <xdr:ext cx="65" cy="172227"/>
    <xdr:sp macro="" textlink="">
      <xdr:nvSpPr>
        <xdr:cNvPr id="363" name="TextBox 362"/>
        <xdr:cNvSpPr txBox="1"/>
      </xdr:nvSpPr>
      <xdr:spPr>
        <a:xfrm>
          <a:off x="5943600" y="3925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209</xdr:row>
      <xdr:rowOff>90487</xdr:rowOff>
    </xdr:from>
    <xdr:ext cx="65" cy="172227"/>
    <xdr:sp macro="" textlink="">
      <xdr:nvSpPr>
        <xdr:cNvPr id="364" name="TextBox 363"/>
        <xdr:cNvSpPr txBox="1"/>
      </xdr:nvSpPr>
      <xdr:spPr>
        <a:xfrm>
          <a:off x="5943600" y="3925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209</xdr:row>
      <xdr:rowOff>90487</xdr:rowOff>
    </xdr:from>
    <xdr:ext cx="65" cy="172227"/>
    <xdr:sp macro="" textlink="">
      <xdr:nvSpPr>
        <xdr:cNvPr id="365" name="TextBox 364"/>
        <xdr:cNvSpPr txBox="1"/>
      </xdr:nvSpPr>
      <xdr:spPr>
        <a:xfrm>
          <a:off x="5943600" y="3925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209</xdr:row>
      <xdr:rowOff>90487</xdr:rowOff>
    </xdr:from>
    <xdr:ext cx="65" cy="172227"/>
    <xdr:sp macro="" textlink="">
      <xdr:nvSpPr>
        <xdr:cNvPr id="366" name="TextBox 365"/>
        <xdr:cNvSpPr txBox="1"/>
      </xdr:nvSpPr>
      <xdr:spPr>
        <a:xfrm>
          <a:off x="5943600" y="3925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209</xdr:row>
      <xdr:rowOff>90487</xdr:rowOff>
    </xdr:from>
    <xdr:ext cx="65" cy="172227"/>
    <xdr:sp macro="" textlink="">
      <xdr:nvSpPr>
        <xdr:cNvPr id="367" name="TextBox 366"/>
        <xdr:cNvSpPr txBox="1"/>
      </xdr:nvSpPr>
      <xdr:spPr>
        <a:xfrm>
          <a:off x="5943600" y="3925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209</xdr:row>
      <xdr:rowOff>90487</xdr:rowOff>
    </xdr:from>
    <xdr:ext cx="65" cy="172227"/>
    <xdr:sp macro="" textlink="">
      <xdr:nvSpPr>
        <xdr:cNvPr id="368" name="TextBox 367"/>
        <xdr:cNvSpPr txBox="1"/>
      </xdr:nvSpPr>
      <xdr:spPr>
        <a:xfrm>
          <a:off x="5943600" y="3925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209</xdr:row>
      <xdr:rowOff>90487</xdr:rowOff>
    </xdr:from>
    <xdr:ext cx="65" cy="172227"/>
    <xdr:sp macro="" textlink="">
      <xdr:nvSpPr>
        <xdr:cNvPr id="369" name="TextBox 368"/>
        <xdr:cNvSpPr txBox="1"/>
      </xdr:nvSpPr>
      <xdr:spPr>
        <a:xfrm>
          <a:off x="5943600" y="3925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209</xdr:row>
      <xdr:rowOff>90487</xdr:rowOff>
    </xdr:from>
    <xdr:ext cx="65" cy="172227"/>
    <xdr:sp macro="" textlink="">
      <xdr:nvSpPr>
        <xdr:cNvPr id="370" name="TextBox 369"/>
        <xdr:cNvSpPr txBox="1"/>
      </xdr:nvSpPr>
      <xdr:spPr>
        <a:xfrm>
          <a:off x="5943600" y="3925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209</xdr:row>
      <xdr:rowOff>90487</xdr:rowOff>
    </xdr:from>
    <xdr:ext cx="65" cy="172227"/>
    <xdr:sp macro="" textlink="">
      <xdr:nvSpPr>
        <xdr:cNvPr id="371" name="TextBox 370"/>
        <xdr:cNvSpPr txBox="1"/>
      </xdr:nvSpPr>
      <xdr:spPr>
        <a:xfrm>
          <a:off x="5943600" y="3925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209</xdr:row>
      <xdr:rowOff>90487</xdr:rowOff>
    </xdr:from>
    <xdr:ext cx="65" cy="172227"/>
    <xdr:sp macro="" textlink="">
      <xdr:nvSpPr>
        <xdr:cNvPr id="372" name="TextBox 371"/>
        <xdr:cNvSpPr txBox="1"/>
      </xdr:nvSpPr>
      <xdr:spPr>
        <a:xfrm>
          <a:off x="5943600" y="3925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209</xdr:row>
      <xdr:rowOff>90487</xdr:rowOff>
    </xdr:from>
    <xdr:ext cx="65" cy="172227"/>
    <xdr:sp macro="" textlink="">
      <xdr:nvSpPr>
        <xdr:cNvPr id="373" name="TextBox 372"/>
        <xdr:cNvSpPr txBox="1"/>
      </xdr:nvSpPr>
      <xdr:spPr>
        <a:xfrm>
          <a:off x="5943600" y="3925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213</xdr:row>
      <xdr:rowOff>90487</xdr:rowOff>
    </xdr:from>
    <xdr:ext cx="65" cy="172227"/>
    <xdr:sp macro="" textlink="">
      <xdr:nvSpPr>
        <xdr:cNvPr id="374" name="TextBox 373"/>
        <xdr:cNvSpPr txBox="1"/>
      </xdr:nvSpPr>
      <xdr:spPr>
        <a:xfrm>
          <a:off x="5943600" y="4001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213</xdr:row>
      <xdr:rowOff>90487</xdr:rowOff>
    </xdr:from>
    <xdr:ext cx="65" cy="172227"/>
    <xdr:sp macro="" textlink="">
      <xdr:nvSpPr>
        <xdr:cNvPr id="375" name="TextBox 374"/>
        <xdr:cNvSpPr txBox="1"/>
      </xdr:nvSpPr>
      <xdr:spPr>
        <a:xfrm>
          <a:off x="5943600" y="4001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213</xdr:row>
      <xdr:rowOff>90487</xdr:rowOff>
    </xdr:from>
    <xdr:ext cx="65" cy="172227"/>
    <xdr:sp macro="" textlink="">
      <xdr:nvSpPr>
        <xdr:cNvPr id="376" name="TextBox 375"/>
        <xdr:cNvSpPr txBox="1"/>
      </xdr:nvSpPr>
      <xdr:spPr>
        <a:xfrm>
          <a:off x="5943600" y="4001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213</xdr:row>
      <xdr:rowOff>90487</xdr:rowOff>
    </xdr:from>
    <xdr:ext cx="65" cy="172227"/>
    <xdr:sp macro="" textlink="">
      <xdr:nvSpPr>
        <xdr:cNvPr id="377" name="TextBox 376"/>
        <xdr:cNvSpPr txBox="1"/>
      </xdr:nvSpPr>
      <xdr:spPr>
        <a:xfrm>
          <a:off x="5943600" y="4001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213</xdr:row>
      <xdr:rowOff>90487</xdr:rowOff>
    </xdr:from>
    <xdr:ext cx="65" cy="172227"/>
    <xdr:sp macro="" textlink="">
      <xdr:nvSpPr>
        <xdr:cNvPr id="378" name="TextBox 377"/>
        <xdr:cNvSpPr txBox="1"/>
      </xdr:nvSpPr>
      <xdr:spPr>
        <a:xfrm>
          <a:off x="5943600" y="4001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213</xdr:row>
      <xdr:rowOff>90487</xdr:rowOff>
    </xdr:from>
    <xdr:ext cx="65" cy="172227"/>
    <xdr:sp macro="" textlink="">
      <xdr:nvSpPr>
        <xdr:cNvPr id="379" name="TextBox 378"/>
        <xdr:cNvSpPr txBox="1"/>
      </xdr:nvSpPr>
      <xdr:spPr>
        <a:xfrm>
          <a:off x="5943600" y="4001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213</xdr:row>
      <xdr:rowOff>90487</xdr:rowOff>
    </xdr:from>
    <xdr:ext cx="65" cy="172227"/>
    <xdr:sp macro="" textlink="">
      <xdr:nvSpPr>
        <xdr:cNvPr id="380" name="TextBox 379"/>
        <xdr:cNvSpPr txBox="1"/>
      </xdr:nvSpPr>
      <xdr:spPr>
        <a:xfrm>
          <a:off x="5943600" y="4001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213</xdr:row>
      <xdr:rowOff>90487</xdr:rowOff>
    </xdr:from>
    <xdr:ext cx="65" cy="172227"/>
    <xdr:sp macro="" textlink="">
      <xdr:nvSpPr>
        <xdr:cNvPr id="381" name="TextBox 380"/>
        <xdr:cNvSpPr txBox="1"/>
      </xdr:nvSpPr>
      <xdr:spPr>
        <a:xfrm>
          <a:off x="5943600" y="4001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213</xdr:row>
      <xdr:rowOff>90487</xdr:rowOff>
    </xdr:from>
    <xdr:ext cx="65" cy="172227"/>
    <xdr:sp macro="" textlink="">
      <xdr:nvSpPr>
        <xdr:cNvPr id="382" name="TextBox 381"/>
        <xdr:cNvSpPr txBox="1"/>
      </xdr:nvSpPr>
      <xdr:spPr>
        <a:xfrm>
          <a:off x="5943600" y="4001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213</xdr:row>
      <xdr:rowOff>90487</xdr:rowOff>
    </xdr:from>
    <xdr:ext cx="65" cy="172227"/>
    <xdr:sp macro="" textlink="">
      <xdr:nvSpPr>
        <xdr:cNvPr id="383" name="TextBox 382"/>
        <xdr:cNvSpPr txBox="1"/>
      </xdr:nvSpPr>
      <xdr:spPr>
        <a:xfrm>
          <a:off x="5943600" y="4001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213</xdr:row>
      <xdr:rowOff>90487</xdr:rowOff>
    </xdr:from>
    <xdr:ext cx="65" cy="172227"/>
    <xdr:sp macro="" textlink="">
      <xdr:nvSpPr>
        <xdr:cNvPr id="384" name="TextBox 383"/>
        <xdr:cNvSpPr txBox="1"/>
      </xdr:nvSpPr>
      <xdr:spPr>
        <a:xfrm>
          <a:off x="5943600" y="4001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213</xdr:row>
      <xdr:rowOff>90487</xdr:rowOff>
    </xdr:from>
    <xdr:ext cx="65" cy="172227"/>
    <xdr:sp macro="" textlink="">
      <xdr:nvSpPr>
        <xdr:cNvPr id="385" name="TextBox 384"/>
        <xdr:cNvSpPr txBox="1"/>
      </xdr:nvSpPr>
      <xdr:spPr>
        <a:xfrm>
          <a:off x="5943600" y="4001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213</xdr:row>
      <xdr:rowOff>90487</xdr:rowOff>
    </xdr:from>
    <xdr:ext cx="65" cy="172227"/>
    <xdr:sp macro="" textlink="">
      <xdr:nvSpPr>
        <xdr:cNvPr id="386" name="TextBox 385"/>
        <xdr:cNvSpPr txBox="1"/>
      </xdr:nvSpPr>
      <xdr:spPr>
        <a:xfrm>
          <a:off x="5943600" y="4001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213</xdr:row>
      <xdr:rowOff>90487</xdr:rowOff>
    </xdr:from>
    <xdr:ext cx="65" cy="172227"/>
    <xdr:sp macro="" textlink="">
      <xdr:nvSpPr>
        <xdr:cNvPr id="387" name="TextBox 386"/>
        <xdr:cNvSpPr txBox="1"/>
      </xdr:nvSpPr>
      <xdr:spPr>
        <a:xfrm>
          <a:off x="5943600" y="4001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213</xdr:row>
      <xdr:rowOff>90487</xdr:rowOff>
    </xdr:from>
    <xdr:ext cx="65" cy="172227"/>
    <xdr:sp macro="" textlink="">
      <xdr:nvSpPr>
        <xdr:cNvPr id="388" name="TextBox 387"/>
        <xdr:cNvSpPr txBox="1"/>
      </xdr:nvSpPr>
      <xdr:spPr>
        <a:xfrm>
          <a:off x="5943600" y="4001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213</xdr:row>
      <xdr:rowOff>90487</xdr:rowOff>
    </xdr:from>
    <xdr:ext cx="65" cy="172227"/>
    <xdr:sp macro="" textlink="">
      <xdr:nvSpPr>
        <xdr:cNvPr id="389" name="TextBox 388"/>
        <xdr:cNvSpPr txBox="1"/>
      </xdr:nvSpPr>
      <xdr:spPr>
        <a:xfrm>
          <a:off x="5943600" y="4001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213</xdr:row>
      <xdr:rowOff>90487</xdr:rowOff>
    </xdr:from>
    <xdr:ext cx="65" cy="172227"/>
    <xdr:sp macro="" textlink="">
      <xdr:nvSpPr>
        <xdr:cNvPr id="390" name="TextBox 389"/>
        <xdr:cNvSpPr txBox="1"/>
      </xdr:nvSpPr>
      <xdr:spPr>
        <a:xfrm>
          <a:off x="5943600" y="4001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213</xdr:row>
      <xdr:rowOff>90487</xdr:rowOff>
    </xdr:from>
    <xdr:ext cx="65" cy="172227"/>
    <xdr:sp macro="" textlink="">
      <xdr:nvSpPr>
        <xdr:cNvPr id="391" name="TextBox 390"/>
        <xdr:cNvSpPr txBox="1"/>
      </xdr:nvSpPr>
      <xdr:spPr>
        <a:xfrm>
          <a:off x="5943600" y="4001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213</xdr:row>
      <xdr:rowOff>90487</xdr:rowOff>
    </xdr:from>
    <xdr:ext cx="65" cy="172227"/>
    <xdr:sp macro="" textlink="">
      <xdr:nvSpPr>
        <xdr:cNvPr id="392" name="TextBox 391"/>
        <xdr:cNvSpPr txBox="1"/>
      </xdr:nvSpPr>
      <xdr:spPr>
        <a:xfrm>
          <a:off x="5943600" y="4001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213</xdr:row>
      <xdr:rowOff>90487</xdr:rowOff>
    </xdr:from>
    <xdr:ext cx="65" cy="172227"/>
    <xdr:sp macro="" textlink="">
      <xdr:nvSpPr>
        <xdr:cNvPr id="393" name="TextBox 392"/>
        <xdr:cNvSpPr txBox="1"/>
      </xdr:nvSpPr>
      <xdr:spPr>
        <a:xfrm>
          <a:off x="5943600" y="4001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217</xdr:row>
      <xdr:rowOff>90487</xdr:rowOff>
    </xdr:from>
    <xdr:ext cx="65" cy="172227"/>
    <xdr:sp macro="" textlink="">
      <xdr:nvSpPr>
        <xdr:cNvPr id="394" name="TextBox 393"/>
        <xdr:cNvSpPr txBox="1"/>
      </xdr:nvSpPr>
      <xdr:spPr>
        <a:xfrm>
          <a:off x="5943600" y="407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217</xdr:row>
      <xdr:rowOff>90487</xdr:rowOff>
    </xdr:from>
    <xdr:ext cx="65" cy="172227"/>
    <xdr:sp macro="" textlink="">
      <xdr:nvSpPr>
        <xdr:cNvPr id="395" name="TextBox 394"/>
        <xdr:cNvSpPr txBox="1"/>
      </xdr:nvSpPr>
      <xdr:spPr>
        <a:xfrm>
          <a:off x="5943600" y="407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217</xdr:row>
      <xdr:rowOff>90487</xdr:rowOff>
    </xdr:from>
    <xdr:ext cx="65" cy="172227"/>
    <xdr:sp macro="" textlink="">
      <xdr:nvSpPr>
        <xdr:cNvPr id="396" name="TextBox 395"/>
        <xdr:cNvSpPr txBox="1"/>
      </xdr:nvSpPr>
      <xdr:spPr>
        <a:xfrm>
          <a:off x="5943600" y="407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217</xdr:row>
      <xdr:rowOff>90487</xdr:rowOff>
    </xdr:from>
    <xdr:ext cx="65" cy="172227"/>
    <xdr:sp macro="" textlink="">
      <xdr:nvSpPr>
        <xdr:cNvPr id="397" name="TextBox 396"/>
        <xdr:cNvSpPr txBox="1"/>
      </xdr:nvSpPr>
      <xdr:spPr>
        <a:xfrm>
          <a:off x="5943600" y="407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217</xdr:row>
      <xdr:rowOff>90487</xdr:rowOff>
    </xdr:from>
    <xdr:ext cx="65" cy="172227"/>
    <xdr:sp macro="" textlink="">
      <xdr:nvSpPr>
        <xdr:cNvPr id="398" name="TextBox 397"/>
        <xdr:cNvSpPr txBox="1"/>
      </xdr:nvSpPr>
      <xdr:spPr>
        <a:xfrm>
          <a:off x="5943600" y="407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217</xdr:row>
      <xdr:rowOff>90487</xdr:rowOff>
    </xdr:from>
    <xdr:ext cx="65" cy="172227"/>
    <xdr:sp macro="" textlink="">
      <xdr:nvSpPr>
        <xdr:cNvPr id="399" name="TextBox 398"/>
        <xdr:cNvSpPr txBox="1"/>
      </xdr:nvSpPr>
      <xdr:spPr>
        <a:xfrm>
          <a:off x="5943600" y="407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217</xdr:row>
      <xdr:rowOff>90487</xdr:rowOff>
    </xdr:from>
    <xdr:ext cx="65" cy="172227"/>
    <xdr:sp macro="" textlink="">
      <xdr:nvSpPr>
        <xdr:cNvPr id="400" name="TextBox 399"/>
        <xdr:cNvSpPr txBox="1"/>
      </xdr:nvSpPr>
      <xdr:spPr>
        <a:xfrm>
          <a:off x="5943600" y="407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217</xdr:row>
      <xdr:rowOff>90487</xdr:rowOff>
    </xdr:from>
    <xdr:ext cx="65" cy="172227"/>
    <xdr:sp macro="" textlink="">
      <xdr:nvSpPr>
        <xdr:cNvPr id="401" name="TextBox 400"/>
        <xdr:cNvSpPr txBox="1"/>
      </xdr:nvSpPr>
      <xdr:spPr>
        <a:xfrm>
          <a:off x="5943600" y="407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217</xdr:row>
      <xdr:rowOff>90487</xdr:rowOff>
    </xdr:from>
    <xdr:ext cx="65" cy="172227"/>
    <xdr:sp macro="" textlink="">
      <xdr:nvSpPr>
        <xdr:cNvPr id="402" name="TextBox 401"/>
        <xdr:cNvSpPr txBox="1"/>
      </xdr:nvSpPr>
      <xdr:spPr>
        <a:xfrm>
          <a:off x="5943600" y="407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217</xdr:row>
      <xdr:rowOff>90487</xdr:rowOff>
    </xdr:from>
    <xdr:ext cx="65" cy="172227"/>
    <xdr:sp macro="" textlink="">
      <xdr:nvSpPr>
        <xdr:cNvPr id="403" name="TextBox 402"/>
        <xdr:cNvSpPr txBox="1"/>
      </xdr:nvSpPr>
      <xdr:spPr>
        <a:xfrm>
          <a:off x="5943600" y="407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217</xdr:row>
      <xdr:rowOff>90487</xdr:rowOff>
    </xdr:from>
    <xdr:ext cx="65" cy="172227"/>
    <xdr:sp macro="" textlink="">
      <xdr:nvSpPr>
        <xdr:cNvPr id="404" name="TextBox 403"/>
        <xdr:cNvSpPr txBox="1"/>
      </xdr:nvSpPr>
      <xdr:spPr>
        <a:xfrm>
          <a:off x="5943600" y="407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217</xdr:row>
      <xdr:rowOff>90487</xdr:rowOff>
    </xdr:from>
    <xdr:ext cx="65" cy="172227"/>
    <xdr:sp macro="" textlink="">
      <xdr:nvSpPr>
        <xdr:cNvPr id="405" name="TextBox 404"/>
        <xdr:cNvSpPr txBox="1"/>
      </xdr:nvSpPr>
      <xdr:spPr>
        <a:xfrm>
          <a:off x="5943600" y="407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217</xdr:row>
      <xdr:rowOff>90487</xdr:rowOff>
    </xdr:from>
    <xdr:ext cx="65" cy="172227"/>
    <xdr:sp macro="" textlink="">
      <xdr:nvSpPr>
        <xdr:cNvPr id="406" name="TextBox 405"/>
        <xdr:cNvSpPr txBox="1"/>
      </xdr:nvSpPr>
      <xdr:spPr>
        <a:xfrm>
          <a:off x="5943600" y="407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217</xdr:row>
      <xdr:rowOff>90487</xdr:rowOff>
    </xdr:from>
    <xdr:ext cx="65" cy="172227"/>
    <xdr:sp macro="" textlink="">
      <xdr:nvSpPr>
        <xdr:cNvPr id="407" name="TextBox 406"/>
        <xdr:cNvSpPr txBox="1"/>
      </xdr:nvSpPr>
      <xdr:spPr>
        <a:xfrm>
          <a:off x="5943600" y="407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217</xdr:row>
      <xdr:rowOff>90487</xdr:rowOff>
    </xdr:from>
    <xdr:ext cx="65" cy="172227"/>
    <xdr:sp macro="" textlink="">
      <xdr:nvSpPr>
        <xdr:cNvPr id="408" name="TextBox 407"/>
        <xdr:cNvSpPr txBox="1"/>
      </xdr:nvSpPr>
      <xdr:spPr>
        <a:xfrm>
          <a:off x="5943600" y="407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217</xdr:row>
      <xdr:rowOff>90487</xdr:rowOff>
    </xdr:from>
    <xdr:ext cx="65" cy="172227"/>
    <xdr:sp macro="" textlink="">
      <xdr:nvSpPr>
        <xdr:cNvPr id="409" name="TextBox 408"/>
        <xdr:cNvSpPr txBox="1"/>
      </xdr:nvSpPr>
      <xdr:spPr>
        <a:xfrm>
          <a:off x="5943600" y="407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217</xdr:row>
      <xdr:rowOff>90487</xdr:rowOff>
    </xdr:from>
    <xdr:ext cx="65" cy="172227"/>
    <xdr:sp macro="" textlink="">
      <xdr:nvSpPr>
        <xdr:cNvPr id="410" name="TextBox 409"/>
        <xdr:cNvSpPr txBox="1"/>
      </xdr:nvSpPr>
      <xdr:spPr>
        <a:xfrm>
          <a:off x="5943600" y="407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217</xdr:row>
      <xdr:rowOff>90487</xdr:rowOff>
    </xdr:from>
    <xdr:ext cx="65" cy="172227"/>
    <xdr:sp macro="" textlink="">
      <xdr:nvSpPr>
        <xdr:cNvPr id="411" name="TextBox 410"/>
        <xdr:cNvSpPr txBox="1"/>
      </xdr:nvSpPr>
      <xdr:spPr>
        <a:xfrm>
          <a:off x="5943600" y="407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217</xdr:row>
      <xdr:rowOff>90487</xdr:rowOff>
    </xdr:from>
    <xdr:ext cx="65" cy="172227"/>
    <xdr:sp macro="" textlink="">
      <xdr:nvSpPr>
        <xdr:cNvPr id="412" name="TextBox 411"/>
        <xdr:cNvSpPr txBox="1"/>
      </xdr:nvSpPr>
      <xdr:spPr>
        <a:xfrm>
          <a:off x="5943600" y="407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217</xdr:row>
      <xdr:rowOff>90487</xdr:rowOff>
    </xdr:from>
    <xdr:ext cx="65" cy="172227"/>
    <xdr:sp macro="" textlink="">
      <xdr:nvSpPr>
        <xdr:cNvPr id="413" name="TextBox 412"/>
        <xdr:cNvSpPr txBox="1"/>
      </xdr:nvSpPr>
      <xdr:spPr>
        <a:xfrm>
          <a:off x="5943600" y="407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414" name="TextBox 413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415" name="TextBox 414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416" name="TextBox 415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417" name="TextBox 416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418" name="TextBox 417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419" name="TextBox 418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420" name="TextBox 419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421" name="TextBox 420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422" name="TextBox 421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423" name="TextBox 422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424" name="TextBox 423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425" name="TextBox 424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426" name="TextBox 425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427" name="TextBox 426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428" name="TextBox 427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429" name="TextBox 428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430" name="TextBox 429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431" name="TextBox 430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432" name="TextBox 431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433" name="TextBox 432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434" name="TextBox 433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221</xdr:row>
      <xdr:rowOff>90487</xdr:rowOff>
    </xdr:from>
    <xdr:ext cx="65" cy="172227"/>
    <xdr:sp macro="" textlink="">
      <xdr:nvSpPr>
        <xdr:cNvPr id="435" name="TextBox 434"/>
        <xdr:cNvSpPr txBox="1"/>
      </xdr:nvSpPr>
      <xdr:spPr>
        <a:xfrm>
          <a:off x="5943600" y="415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225</xdr:row>
      <xdr:rowOff>90487</xdr:rowOff>
    </xdr:from>
    <xdr:ext cx="65" cy="172227"/>
    <xdr:sp macro="" textlink="">
      <xdr:nvSpPr>
        <xdr:cNvPr id="436" name="TextBox 435"/>
        <xdr:cNvSpPr txBox="1"/>
      </xdr:nvSpPr>
      <xdr:spPr>
        <a:xfrm>
          <a:off x="5943600" y="423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225</xdr:row>
      <xdr:rowOff>90487</xdr:rowOff>
    </xdr:from>
    <xdr:ext cx="65" cy="172227"/>
    <xdr:sp macro="" textlink="">
      <xdr:nvSpPr>
        <xdr:cNvPr id="437" name="TextBox 436"/>
        <xdr:cNvSpPr txBox="1"/>
      </xdr:nvSpPr>
      <xdr:spPr>
        <a:xfrm>
          <a:off x="5943600" y="423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225</xdr:row>
      <xdr:rowOff>90487</xdr:rowOff>
    </xdr:from>
    <xdr:ext cx="65" cy="172227"/>
    <xdr:sp macro="" textlink="">
      <xdr:nvSpPr>
        <xdr:cNvPr id="438" name="TextBox 437"/>
        <xdr:cNvSpPr txBox="1"/>
      </xdr:nvSpPr>
      <xdr:spPr>
        <a:xfrm>
          <a:off x="5943600" y="423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225</xdr:row>
      <xdr:rowOff>90487</xdr:rowOff>
    </xdr:from>
    <xdr:ext cx="65" cy="172227"/>
    <xdr:sp macro="" textlink="">
      <xdr:nvSpPr>
        <xdr:cNvPr id="439" name="TextBox 438"/>
        <xdr:cNvSpPr txBox="1"/>
      </xdr:nvSpPr>
      <xdr:spPr>
        <a:xfrm>
          <a:off x="5943600" y="423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225</xdr:row>
      <xdr:rowOff>90487</xdr:rowOff>
    </xdr:from>
    <xdr:ext cx="65" cy="172227"/>
    <xdr:sp macro="" textlink="">
      <xdr:nvSpPr>
        <xdr:cNvPr id="440" name="TextBox 439"/>
        <xdr:cNvSpPr txBox="1"/>
      </xdr:nvSpPr>
      <xdr:spPr>
        <a:xfrm>
          <a:off x="5943600" y="423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225</xdr:row>
      <xdr:rowOff>90487</xdr:rowOff>
    </xdr:from>
    <xdr:ext cx="65" cy="172227"/>
    <xdr:sp macro="" textlink="">
      <xdr:nvSpPr>
        <xdr:cNvPr id="441" name="TextBox 440"/>
        <xdr:cNvSpPr txBox="1"/>
      </xdr:nvSpPr>
      <xdr:spPr>
        <a:xfrm>
          <a:off x="5943600" y="423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225</xdr:row>
      <xdr:rowOff>90487</xdr:rowOff>
    </xdr:from>
    <xdr:ext cx="65" cy="172227"/>
    <xdr:sp macro="" textlink="">
      <xdr:nvSpPr>
        <xdr:cNvPr id="442" name="TextBox 441"/>
        <xdr:cNvSpPr txBox="1"/>
      </xdr:nvSpPr>
      <xdr:spPr>
        <a:xfrm>
          <a:off x="5943600" y="423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225</xdr:row>
      <xdr:rowOff>90487</xdr:rowOff>
    </xdr:from>
    <xdr:ext cx="65" cy="172227"/>
    <xdr:sp macro="" textlink="">
      <xdr:nvSpPr>
        <xdr:cNvPr id="443" name="TextBox 442"/>
        <xdr:cNvSpPr txBox="1"/>
      </xdr:nvSpPr>
      <xdr:spPr>
        <a:xfrm>
          <a:off x="5943600" y="423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225</xdr:row>
      <xdr:rowOff>90487</xdr:rowOff>
    </xdr:from>
    <xdr:ext cx="65" cy="172227"/>
    <xdr:sp macro="" textlink="">
      <xdr:nvSpPr>
        <xdr:cNvPr id="444" name="TextBox 443"/>
        <xdr:cNvSpPr txBox="1"/>
      </xdr:nvSpPr>
      <xdr:spPr>
        <a:xfrm>
          <a:off x="5943600" y="423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225</xdr:row>
      <xdr:rowOff>90487</xdr:rowOff>
    </xdr:from>
    <xdr:ext cx="65" cy="172227"/>
    <xdr:sp macro="" textlink="">
      <xdr:nvSpPr>
        <xdr:cNvPr id="445" name="TextBox 444"/>
        <xdr:cNvSpPr txBox="1"/>
      </xdr:nvSpPr>
      <xdr:spPr>
        <a:xfrm>
          <a:off x="5943600" y="423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225</xdr:row>
      <xdr:rowOff>90487</xdr:rowOff>
    </xdr:from>
    <xdr:ext cx="65" cy="172227"/>
    <xdr:sp macro="" textlink="">
      <xdr:nvSpPr>
        <xdr:cNvPr id="446" name="TextBox 445"/>
        <xdr:cNvSpPr txBox="1"/>
      </xdr:nvSpPr>
      <xdr:spPr>
        <a:xfrm>
          <a:off x="5943600" y="423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225</xdr:row>
      <xdr:rowOff>90487</xdr:rowOff>
    </xdr:from>
    <xdr:ext cx="65" cy="172227"/>
    <xdr:sp macro="" textlink="">
      <xdr:nvSpPr>
        <xdr:cNvPr id="447" name="TextBox 446"/>
        <xdr:cNvSpPr txBox="1"/>
      </xdr:nvSpPr>
      <xdr:spPr>
        <a:xfrm>
          <a:off x="5943600" y="423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225</xdr:row>
      <xdr:rowOff>90487</xdr:rowOff>
    </xdr:from>
    <xdr:ext cx="65" cy="172227"/>
    <xdr:sp macro="" textlink="">
      <xdr:nvSpPr>
        <xdr:cNvPr id="448" name="TextBox 447"/>
        <xdr:cNvSpPr txBox="1"/>
      </xdr:nvSpPr>
      <xdr:spPr>
        <a:xfrm>
          <a:off x="5943600" y="423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225</xdr:row>
      <xdr:rowOff>90487</xdr:rowOff>
    </xdr:from>
    <xdr:ext cx="65" cy="172227"/>
    <xdr:sp macro="" textlink="">
      <xdr:nvSpPr>
        <xdr:cNvPr id="449" name="TextBox 448"/>
        <xdr:cNvSpPr txBox="1"/>
      </xdr:nvSpPr>
      <xdr:spPr>
        <a:xfrm>
          <a:off x="5943600" y="423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225</xdr:row>
      <xdr:rowOff>90487</xdr:rowOff>
    </xdr:from>
    <xdr:ext cx="65" cy="172227"/>
    <xdr:sp macro="" textlink="">
      <xdr:nvSpPr>
        <xdr:cNvPr id="450" name="TextBox 449"/>
        <xdr:cNvSpPr txBox="1"/>
      </xdr:nvSpPr>
      <xdr:spPr>
        <a:xfrm>
          <a:off x="5943600" y="423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225</xdr:row>
      <xdr:rowOff>90487</xdr:rowOff>
    </xdr:from>
    <xdr:ext cx="65" cy="172227"/>
    <xdr:sp macro="" textlink="">
      <xdr:nvSpPr>
        <xdr:cNvPr id="451" name="TextBox 450"/>
        <xdr:cNvSpPr txBox="1"/>
      </xdr:nvSpPr>
      <xdr:spPr>
        <a:xfrm>
          <a:off x="5943600" y="423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225</xdr:row>
      <xdr:rowOff>90487</xdr:rowOff>
    </xdr:from>
    <xdr:ext cx="65" cy="172227"/>
    <xdr:sp macro="" textlink="">
      <xdr:nvSpPr>
        <xdr:cNvPr id="452" name="TextBox 451"/>
        <xdr:cNvSpPr txBox="1"/>
      </xdr:nvSpPr>
      <xdr:spPr>
        <a:xfrm>
          <a:off x="5943600" y="423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225</xdr:row>
      <xdr:rowOff>90487</xdr:rowOff>
    </xdr:from>
    <xdr:ext cx="65" cy="172227"/>
    <xdr:sp macro="" textlink="">
      <xdr:nvSpPr>
        <xdr:cNvPr id="453" name="TextBox 452"/>
        <xdr:cNvSpPr txBox="1"/>
      </xdr:nvSpPr>
      <xdr:spPr>
        <a:xfrm>
          <a:off x="5943600" y="423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225</xdr:row>
      <xdr:rowOff>90487</xdr:rowOff>
    </xdr:from>
    <xdr:ext cx="65" cy="172227"/>
    <xdr:sp macro="" textlink="">
      <xdr:nvSpPr>
        <xdr:cNvPr id="454" name="TextBox 453"/>
        <xdr:cNvSpPr txBox="1"/>
      </xdr:nvSpPr>
      <xdr:spPr>
        <a:xfrm>
          <a:off x="5943600" y="423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225</xdr:row>
      <xdr:rowOff>90487</xdr:rowOff>
    </xdr:from>
    <xdr:ext cx="65" cy="172227"/>
    <xdr:sp macro="" textlink="">
      <xdr:nvSpPr>
        <xdr:cNvPr id="455" name="TextBox 454"/>
        <xdr:cNvSpPr txBox="1"/>
      </xdr:nvSpPr>
      <xdr:spPr>
        <a:xfrm>
          <a:off x="5943600" y="423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225</xdr:row>
      <xdr:rowOff>90487</xdr:rowOff>
    </xdr:from>
    <xdr:ext cx="65" cy="172227"/>
    <xdr:sp macro="" textlink="">
      <xdr:nvSpPr>
        <xdr:cNvPr id="456" name="TextBox 455"/>
        <xdr:cNvSpPr txBox="1"/>
      </xdr:nvSpPr>
      <xdr:spPr>
        <a:xfrm>
          <a:off x="5943600" y="423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225</xdr:row>
      <xdr:rowOff>90487</xdr:rowOff>
    </xdr:from>
    <xdr:ext cx="65" cy="172227"/>
    <xdr:sp macro="" textlink="">
      <xdr:nvSpPr>
        <xdr:cNvPr id="457" name="TextBox 456"/>
        <xdr:cNvSpPr txBox="1"/>
      </xdr:nvSpPr>
      <xdr:spPr>
        <a:xfrm>
          <a:off x="5943600" y="423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458" name="TextBox 457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459" name="TextBox 458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460" name="TextBox 459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461" name="TextBox 460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462" name="TextBox 461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463" name="TextBox 462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464" name="TextBox 463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465" name="TextBox 464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466" name="TextBox 465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467" name="TextBox 466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468" name="TextBox 467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469" name="TextBox 468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470" name="TextBox 469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471" name="TextBox 470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472" name="TextBox 471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473" name="TextBox 472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474" name="TextBox 473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475" name="TextBox 474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476" name="TextBox 475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477" name="TextBox 476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478" name="TextBox 477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229</xdr:row>
      <xdr:rowOff>90487</xdr:rowOff>
    </xdr:from>
    <xdr:ext cx="65" cy="172227"/>
    <xdr:sp macro="" textlink="">
      <xdr:nvSpPr>
        <xdr:cNvPr id="479" name="TextBox 478"/>
        <xdr:cNvSpPr txBox="1"/>
      </xdr:nvSpPr>
      <xdr:spPr>
        <a:xfrm>
          <a:off x="5943600" y="43067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233</xdr:row>
      <xdr:rowOff>90487</xdr:rowOff>
    </xdr:from>
    <xdr:ext cx="65" cy="172227"/>
    <xdr:sp macro="" textlink="">
      <xdr:nvSpPr>
        <xdr:cNvPr id="480" name="TextBox 479"/>
        <xdr:cNvSpPr txBox="1"/>
      </xdr:nvSpPr>
      <xdr:spPr>
        <a:xfrm>
          <a:off x="5943600" y="438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233</xdr:row>
      <xdr:rowOff>90487</xdr:rowOff>
    </xdr:from>
    <xdr:ext cx="65" cy="172227"/>
    <xdr:sp macro="" textlink="">
      <xdr:nvSpPr>
        <xdr:cNvPr id="481" name="TextBox 480"/>
        <xdr:cNvSpPr txBox="1"/>
      </xdr:nvSpPr>
      <xdr:spPr>
        <a:xfrm>
          <a:off x="5943600" y="438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233</xdr:row>
      <xdr:rowOff>90487</xdr:rowOff>
    </xdr:from>
    <xdr:ext cx="65" cy="172227"/>
    <xdr:sp macro="" textlink="">
      <xdr:nvSpPr>
        <xdr:cNvPr id="482" name="TextBox 481"/>
        <xdr:cNvSpPr txBox="1"/>
      </xdr:nvSpPr>
      <xdr:spPr>
        <a:xfrm>
          <a:off x="5943600" y="438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233</xdr:row>
      <xdr:rowOff>90487</xdr:rowOff>
    </xdr:from>
    <xdr:ext cx="65" cy="172227"/>
    <xdr:sp macro="" textlink="">
      <xdr:nvSpPr>
        <xdr:cNvPr id="483" name="TextBox 482"/>
        <xdr:cNvSpPr txBox="1"/>
      </xdr:nvSpPr>
      <xdr:spPr>
        <a:xfrm>
          <a:off x="5943600" y="438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233</xdr:row>
      <xdr:rowOff>90487</xdr:rowOff>
    </xdr:from>
    <xdr:ext cx="65" cy="172227"/>
    <xdr:sp macro="" textlink="">
      <xdr:nvSpPr>
        <xdr:cNvPr id="484" name="TextBox 483"/>
        <xdr:cNvSpPr txBox="1"/>
      </xdr:nvSpPr>
      <xdr:spPr>
        <a:xfrm>
          <a:off x="5943600" y="438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233</xdr:row>
      <xdr:rowOff>90487</xdr:rowOff>
    </xdr:from>
    <xdr:ext cx="65" cy="172227"/>
    <xdr:sp macro="" textlink="">
      <xdr:nvSpPr>
        <xdr:cNvPr id="485" name="TextBox 484"/>
        <xdr:cNvSpPr txBox="1"/>
      </xdr:nvSpPr>
      <xdr:spPr>
        <a:xfrm>
          <a:off x="5943600" y="438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233</xdr:row>
      <xdr:rowOff>90487</xdr:rowOff>
    </xdr:from>
    <xdr:ext cx="65" cy="172227"/>
    <xdr:sp macro="" textlink="">
      <xdr:nvSpPr>
        <xdr:cNvPr id="486" name="TextBox 485"/>
        <xdr:cNvSpPr txBox="1"/>
      </xdr:nvSpPr>
      <xdr:spPr>
        <a:xfrm>
          <a:off x="5943600" y="438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233</xdr:row>
      <xdr:rowOff>90487</xdr:rowOff>
    </xdr:from>
    <xdr:ext cx="65" cy="172227"/>
    <xdr:sp macro="" textlink="">
      <xdr:nvSpPr>
        <xdr:cNvPr id="487" name="TextBox 486"/>
        <xdr:cNvSpPr txBox="1"/>
      </xdr:nvSpPr>
      <xdr:spPr>
        <a:xfrm>
          <a:off x="5943600" y="438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233</xdr:row>
      <xdr:rowOff>90487</xdr:rowOff>
    </xdr:from>
    <xdr:ext cx="65" cy="172227"/>
    <xdr:sp macro="" textlink="">
      <xdr:nvSpPr>
        <xdr:cNvPr id="488" name="TextBox 487"/>
        <xdr:cNvSpPr txBox="1"/>
      </xdr:nvSpPr>
      <xdr:spPr>
        <a:xfrm>
          <a:off x="5943600" y="438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233</xdr:row>
      <xdr:rowOff>90487</xdr:rowOff>
    </xdr:from>
    <xdr:ext cx="65" cy="172227"/>
    <xdr:sp macro="" textlink="">
      <xdr:nvSpPr>
        <xdr:cNvPr id="489" name="TextBox 488"/>
        <xdr:cNvSpPr txBox="1"/>
      </xdr:nvSpPr>
      <xdr:spPr>
        <a:xfrm>
          <a:off x="5943600" y="438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233</xdr:row>
      <xdr:rowOff>90487</xdr:rowOff>
    </xdr:from>
    <xdr:ext cx="65" cy="172227"/>
    <xdr:sp macro="" textlink="">
      <xdr:nvSpPr>
        <xdr:cNvPr id="490" name="TextBox 489"/>
        <xdr:cNvSpPr txBox="1"/>
      </xdr:nvSpPr>
      <xdr:spPr>
        <a:xfrm>
          <a:off x="5943600" y="438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233</xdr:row>
      <xdr:rowOff>90487</xdr:rowOff>
    </xdr:from>
    <xdr:ext cx="65" cy="172227"/>
    <xdr:sp macro="" textlink="">
      <xdr:nvSpPr>
        <xdr:cNvPr id="491" name="TextBox 490"/>
        <xdr:cNvSpPr txBox="1"/>
      </xdr:nvSpPr>
      <xdr:spPr>
        <a:xfrm>
          <a:off x="5943600" y="438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233</xdr:row>
      <xdr:rowOff>90487</xdr:rowOff>
    </xdr:from>
    <xdr:ext cx="65" cy="172227"/>
    <xdr:sp macro="" textlink="">
      <xdr:nvSpPr>
        <xdr:cNvPr id="492" name="TextBox 491"/>
        <xdr:cNvSpPr txBox="1"/>
      </xdr:nvSpPr>
      <xdr:spPr>
        <a:xfrm>
          <a:off x="5943600" y="438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233</xdr:row>
      <xdr:rowOff>90487</xdr:rowOff>
    </xdr:from>
    <xdr:ext cx="65" cy="172227"/>
    <xdr:sp macro="" textlink="">
      <xdr:nvSpPr>
        <xdr:cNvPr id="493" name="TextBox 492"/>
        <xdr:cNvSpPr txBox="1"/>
      </xdr:nvSpPr>
      <xdr:spPr>
        <a:xfrm>
          <a:off x="5943600" y="438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233</xdr:row>
      <xdr:rowOff>90487</xdr:rowOff>
    </xdr:from>
    <xdr:ext cx="65" cy="172227"/>
    <xdr:sp macro="" textlink="">
      <xdr:nvSpPr>
        <xdr:cNvPr id="494" name="TextBox 493"/>
        <xdr:cNvSpPr txBox="1"/>
      </xdr:nvSpPr>
      <xdr:spPr>
        <a:xfrm>
          <a:off x="5943600" y="438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233</xdr:row>
      <xdr:rowOff>90487</xdr:rowOff>
    </xdr:from>
    <xdr:ext cx="65" cy="172227"/>
    <xdr:sp macro="" textlink="">
      <xdr:nvSpPr>
        <xdr:cNvPr id="495" name="TextBox 494"/>
        <xdr:cNvSpPr txBox="1"/>
      </xdr:nvSpPr>
      <xdr:spPr>
        <a:xfrm>
          <a:off x="5943600" y="438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233</xdr:row>
      <xdr:rowOff>90487</xdr:rowOff>
    </xdr:from>
    <xdr:ext cx="65" cy="172227"/>
    <xdr:sp macro="" textlink="">
      <xdr:nvSpPr>
        <xdr:cNvPr id="496" name="TextBox 495"/>
        <xdr:cNvSpPr txBox="1"/>
      </xdr:nvSpPr>
      <xdr:spPr>
        <a:xfrm>
          <a:off x="5943600" y="438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233</xdr:row>
      <xdr:rowOff>90487</xdr:rowOff>
    </xdr:from>
    <xdr:ext cx="65" cy="172227"/>
    <xdr:sp macro="" textlink="">
      <xdr:nvSpPr>
        <xdr:cNvPr id="497" name="TextBox 496"/>
        <xdr:cNvSpPr txBox="1"/>
      </xdr:nvSpPr>
      <xdr:spPr>
        <a:xfrm>
          <a:off x="5943600" y="438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233</xdr:row>
      <xdr:rowOff>90487</xdr:rowOff>
    </xdr:from>
    <xdr:ext cx="65" cy="172227"/>
    <xdr:sp macro="" textlink="">
      <xdr:nvSpPr>
        <xdr:cNvPr id="498" name="TextBox 497"/>
        <xdr:cNvSpPr txBox="1"/>
      </xdr:nvSpPr>
      <xdr:spPr>
        <a:xfrm>
          <a:off x="5943600" y="438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233</xdr:row>
      <xdr:rowOff>90487</xdr:rowOff>
    </xdr:from>
    <xdr:ext cx="65" cy="172227"/>
    <xdr:sp macro="" textlink="">
      <xdr:nvSpPr>
        <xdr:cNvPr id="499" name="TextBox 498"/>
        <xdr:cNvSpPr txBox="1"/>
      </xdr:nvSpPr>
      <xdr:spPr>
        <a:xfrm>
          <a:off x="5943600" y="438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233</xdr:row>
      <xdr:rowOff>90487</xdr:rowOff>
    </xdr:from>
    <xdr:ext cx="65" cy="172227"/>
    <xdr:sp macro="" textlink="">
      <xdr:nvSpPr>
        <xdr:cNvPr id="500" name="TextBox 499"/>
        <xdr:cNvSpPr txBox="1"/>
      </xdr:nvSpPr>
      <xdr:spPr>
        <a:xfrm>
          <a:off x="5943600" y="438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233</xdr:row>
      <xdr:rowOff>90487</xdr:rowOff>
    </xdr:from>
    <xdr:ext cx="65" cy="172227"/>
    <xdr:sp macro="" textlink="">
      <xdr:nvSpPr>
        <xdr:cNvPr id="501" name="TextBox 500"/>
        <xdr:cNvSpPr txBox="1"/>
      </xdr:nvSpPr>
      <xdr:spPr>
        <a:xfrm>
          <a:off x="5943600" y="438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237</xdr:row>
      <xdr:rowOff>90487</xdr:rowOff>
    </xdr:from>
    <xdr:ext cx="65" cy="172227"/>
    <xdr:sp macro="" textlink="">
      <xdr:nvSpPr>
        <xdr:cNvPr id="502" name="TextBox 501"/>
        <xdr:cNvSpPr txBox="1"/>
      </xdr:nvSpPr>
      <xdr:spPr>
        <a:xfrm>
          <a:off x="5943600" y="445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237</xdr:row>
      <xdr:rowOff>90487</xdr:rowOff>
    </xdr:from>
    <xdr:ext cx="65" cy="172227"/>
    <xdr:sp macro="" textlink="">
      <xdr:nvSpPr>
        <xdr:cNvPr id="503" name="TextBox 502"/>
        <xdr:cNvSpPr txBox="1"/>
      </xdr:nvSpPr>
      <xdr:spPr>
        <a:xfrm>
          <a:off x="5943600" y="445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237</xdr:row>
      <xdr:rowOff>90487</xdr:rowOff>
    </xdr:from>
    <xdr:ext cx="65" cy="172227"/>
    <xdr:sp macro="" textlink="">
      <xdr:nvSpPr>
        <xdr:cNvPr id="504" name="TextBox 503"/>
        <xdr:cNvSpPr txBox="1"/>
      </xdr:nvSpPr>
      <xdr:spPr>
        <a:xfrm>
          <a:off x="5943600" y="445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237</xdr:row>
      <xdr:rowOff>90487</xdr:rowOff>
    </xdr:from>
    <xdr:ext cx="65" cy="172227"/>
    <xdr:sp macro="" textlink="">
      <xdr:nvSpPr>
        <xdr:cNvPr id="505" name="TextBox 504"/>
        <xdr:cNvSpPr txBox="1"/>
      </xdr:nvSpPr>
      <xdr:spPr>
        <a:xfrm>
          <a:off x="5943600" y="445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237</xdr:row>
      <xdr:rowOff>90487</xdr:rowOff>
    </xdr:from>
    <xdr:ext cx="65" cy="172227"/>
    <xdr:sp macro="" textlink="">
      <xdr:nvSpPr>
        <xdr:cNvPr id="506" name="TextBox 505"/>
        <xdr:cNvSpPr txBox="1"/>
      </xdr:nvSpPr>
      <xdr:spPr>
        <a:xfrm>
          <a:off x="5943600" y="445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237</xdr:row>
      <xdr:rowOff>90487</xdr:rowOff>
    </xdr:from>
    <xdr:ext cx="65" cy="172227"/>
    <xdr:sp macro="" textlink="">
      <xdr:nvSpPr>
        <xdr:cNvPr id="507" name="TextBox 506"/>
        <xdr:cNvSpPr txBox="1"/>
      </xdr:nvSpPr>
      <xdr:spPr>
        <a:xfrm>
          <a:off x="5943600" y="445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237</xdr:row>
      <xdr:rowOff>90487</xdr:rowOff>
    </xdr:from>
    <xdr:ext cx="65" cy="172227"/>
    <xdr:sp macro="" textlink="">
      <xdr:nvSpPr>
        <xdr:cNvPr id="508" name="TextBox 507"/>
        <xdr:cNvSpPr txBox="1"/>
      </xdr:nvSpPr>
      <xdr:spPr>
        <a:xfrm>
          <a:off x="5943600" y="445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237</xdr:row>
      <xdr:rowOff>90487</xdr:rowOff>
    </xdr:from>
    <xdr:ext cx="65" cy="172227"/>
    <xdr:sp macro="" textlink="">
      <xdr:nvSpPr>
        <xdr:cNvPr id="509" name="TextBox 508"/>
        <xdr:cNvSpPr txBox="1"/>
      </xdr:nvSpPr>
      <xdr:spPr>
        <a:xfrm>
          <a:off x="5943600" y="445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237</xdr:row>
      <xdr:rowOff>90487</xdr:rowOff>
    </xdr:from>
    <xdr:ext cx="65" cy="172227"/>
    <xdr:sp macro="" textlink="">
      <xdr:nvSpPr>
        <xdr:cNvPr id="510" name="TextBox 509"/>
        <xdr:cNvSpPr txBox="1"/>
      </xdr:nvSpPr>
      <xdr:spPr>
        <a:xfrm>
          <a:off x="5943600" y="445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237</xdr:row>
      <xdr:rowOff>90487</xdr:rowOff>
    </xdr:from>
    <xdr:ext cx="65" cy="172227"/>
    <xdr:sp macro="" textlink="">
      <xdr:nvSpPr>
        <xdr:cNvPr id="511" name="TextBox 510"/>
        <xdr:cNvSpPr txBox="1"/>
      </xdr:nvSpPr>
      <xdr:spPr>
        <a:xfrm>
          <a:off x="5943600" y="445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237</xdr:row>
      <xdr:rowOff>90487</xdr:rowOff>
    </xdr:from>
    <xdr:ext cx="65" cy="172227"/>
    <xdr:sp macro="" textlink="">
      <xdr:nvSpPr>
        <xdr:cNvPr id="512" name="TextBox 511"/>
        <xdr:cNvSpPr txBox="1"/>
      </xdr:nvSpPr>
      <xdr:spPr>
        <a:xfrm>
          <a:off x="5943600" y="445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237</xdr:row>
      <xdr:rowOff>90487</xdr:rowOff>
    </xdr:from>
    <xdr:ext cx="65" cy="172227"/>
    <xdr:sp macro="" textlink="">
      <xdr:nvSpPr>
        <xdr:cNvPr id="513" name="TextBox 512"/>
        <xdr:cNvSpPr txBox="1"/>
      </xdr:nvSpPr>
      <xdr:spPr>
        <a:xfrm>
          <a:off x="5943600" y="445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237</xdr:row>
      <xdr:rowOff>90487</xdr:rowOff>
    </xdr:from>
    <xdr:ext cx="65" cy="172227"/>
    <xdr:sp macro="" textlink="">
      <xdr:nvSpPr>
        <xdr:cNvPr id="514" name="TextBox 513"/>
        <xdr:cNvSpPr txBox="1"/>
      </xdr:nvSpPr>
      <xdr:spPr>
        <a:xfrm>
          <a:off x="5943600" y="445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237</xdr:row>
      <xdr:rowOff>90487</xdr:rowOff>
    </xdr:from>
    <xdr:ext cx="65" cy="172227"/>
    <xdr:sp macro="" textlink="">
      <xdr:nvSpPr>
        <xdr:cNvPr id="515" name="TextBox 514"/>
        <xdr:cNvSpPr txBox="1"/>
      </xdr:nvSpPr>
      <xdr:spPr>
        <a:xfrm>
          <a:off x="5943600" y="445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237</xdr:row>
      <xdr:rowOff>90487</xdr:rowOff>
    </xdr:from>
    <xdr:ext cx="65" cy="172227"/>
    <xdr:sp macro="" textlink="">
      <xdr:nvSpPr>
        <xdr:cNvPr id="516" name="TextBox 515"/>
        <xdr:cNvSpPr txBox="1"/>
      </xdr:nvSpPr>
      <xdr:spPr>
        <a:xfrm>
          <a:off x="5943600" y="445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237</xdr:row>
      <xdr:rowOff>90487</xdr:rowOff>
    </xdr:from>
    <xdr:ext cx="65" cy="172227"/>
    <xdr:sp macro="" textlink="">
      <xdr:nvSpPr>
        <xdr:cNvPr id="517" name="TextBox 516"/>
        <xdr:cNvSpPr txBox="1"/>
      </xdr:nvSpPr>
      <xdr:spPr>
        <a:xfrm>
          <a:off x="5943600" y="445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237</xdr:row>
      <xdr:rowOff>90487</xdr:rowOff>
    </xdr:from>
    <xdr:ext cx="65" cy="172227"/>
    <xdr:sp macro="" textlink="">
      <xdr:nvSpPr>
        <xdr:cNvPr id="518" name="TextBox 517"/>
        <xdr:cNvSpPr txBox="1"/>
      </xdr:nvSpPr>
      <xdr:spPr>
        <a:xfrm>
          <a:off x="5943600" y="445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237</xdr:row>
      <xdr:rowOff>90487</xdr:rowOff>
    </xdr:from>
    <xdr:ext cx="65" cy="172227"/>
    <xdr:sp macro="" textlink="">
      <xdr:nvSpPr>
        <xdr:cNvPr id="519" name="TextBox 518"/>
        <xdr:cNvSpPr txBox="1"/>
      </xdr:nvSpPr>
      <xdr:spPr>
        <a:xfrm>
          <a:off x="5943600" y="445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237</xdr:row>
      <xdr:rowOff>90487</xdr:rowOff>
    </xdr:from>
    <xdr:ext cx="65" cy="172227"/>
    <xdr:sp macro="" textlink="">
      <xdr:nvSpPr>
        <xdr:cNvPr id="520" name="TextBox 519"/>
        <xdr:cNvSpPr txBox="1"/>
      </xdr:nvSpPr>
      <xdr:spPr>
        <a:xfrm>
          <a:off x="5943600" y="445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237</xdr:row>
      <xdr:rowOff>90487</xdr:rowOff>
    </xdr:from>
    <xdr:ext cx="65" cy="172227"/>
    <xdr:sp macro="" textlink="">
      <xdr:nvSpPr>
        <xdr:cNvPr id="521" name="TextBox 520"/>
        <xdr:cNvSpPr txBox="1"/>
      </xdr:nvSpPr>
      <xdr:spPr>
        <a:xfrm>
          <a:off x="5943600" y="445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237</xdr:row>
      <xdr:rowOff>90487</xdr:rowOff>
    </xdr:from>
    <xdr:ext cx="65" cy="172227"/>
    <xdr:sp macro="" textlink="">
      <xdr:nvSpPr>
        <xdr:cNvPr id="522" name="TextBox 521"/>
        <xdr:cNvSpPr txBox="1"/>
      </xdr:nvSpPr>
      <xdr:spPr>
        <a:xfrm>
          <a:off x="5943600" y="445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237</xdr:row>
      <xdr:rowOff>90487</xdr:rowOff>
    </xdr:from>
    <xdr:ext cx="65" cy="172227"/>
    <xdr:sp macro="" textlink="">
      <xdr:nvSpPr>
        <xdr:cNvPr id="523" name="TextBox 522"/>
        <xdr:cNvSpPr txBox="1"/>
      </xdr:nvSpPr>
      <xdr:spPr>
        <a:xfrm>
          <a:off x="5943600" y="4459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241</xdr:row>
      <xdr:rowOff>90487</xdr:rowOff>
    </xdr:from>
    <xdr:ext cx="65" cy="172227"/>
    <xdr:sp macro="" textlink="">
      <xdr:nvSpPr>
        <xdr:cNvPr id="524" name="TextBox 523"/>
        <xdr:cNvSpPr txBox="1"/>
      </xdr:nvSpPr>
      <xdr:spPr>
        <a:xfrm>
          <a:off x="5943600" y="453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241</xdr:row>
      <xdr:rowOff>90487</xdr:rowOff>
    </xdr:from>
    <xdr:ext cx="65" cy="172227"/>
    <xdr:sp macro="" textlink="">
      <xdr:nvSpPr>
        <xdr:cNvPr id="525" name="TextBox 524"/>
        <xdr:cNvSpPr txBox="1"/>
      </xdr:nvSpPr>
      <xdr:spPr>
        <a:xfrm>
          <a:off x="5943600" y="453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241</xdr:row>
      <xdr:rowOff>90487</xdr:rowOff>
    </xdr:from>
    <xdr:ext cx="65" cy="172227"/>
    <xdr:sp macro="" textlink="">
      <xdr:nvSpPr>
        <xdr:cNvPr id="526" name="TextBox 525"/>
        <xdr:cNvSpPr txBox="1"/>
      </xdr:nvSpPr>
      <xdr:spPr>
        <a:xfrm>
          <a:off x="5943600" y="453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241</xdr:row>
      <xdr:rowOff>90487</xdr:rowOff>
    </xdr:from>
    <xdr:ext cx="65" cy="172227"/>
    <xdr:sp macro="" textlink="">
      <xdr:nvSpPr>
        <xdr:cNvPr id="527" name="TextBox 526"/>
        <xdr:cNvSpPr txBox="1"/>
      </xdr:nvSpPr>
      <xdr:spPr>
        <a:xfrm>
          <a:off x="5943600" y="453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241</xdr:row>
      <xdr:rowOff>90487</xdr:rowOff>
    </xdr:from>
    <xdr:ext cx="65" cy="172227"/>
    <xdr:sp macro="" textlink="">
      <xdr:nvSpPr>
        <xdr:cNvPr id="528" name="TextBox 527"/>
        <xdr:cNvSpPr txBox="1"/>
      </xdr:nvSpPr>
      <xdr:spPr>
        <a:xfrm>
          <a:off x="5943600" y="453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241</xdr:row>
      <xdr:rowOff>90487</xdr:rowOff>
    </xdr:from>
    <xdr:ext cx="65" cy="172227"/>
    <xdr:sp macro="" textlink="">
      <xdr:nvSpPr>
        <xdr:cNvPr id="529" name="TextBox 528"/>
        <xdr:cNvSpPr txBox="1"/>
      </xdr:nvSpPr>
      <xdr:spPr>
        <a:xfrm>
          <a:off x="5943600" y="453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241</xdr:row>
      <xdr:rowOff>90487</xdr:rowOff>
    </xdr:from>
    <xdr:ext cx="65" cy="172227"/>
    <xdr:sp macro="" textlink="">
      <xdr:nvSpPr>
        <xdr:cNvPr id="530" name="TextBox 529"/>
        <xdr:cNvSpPr txBox="1"/>
      </xdr:nvSpPr>
      <xdr:spPr>
        <a:xfrm>
          <a:off x="5943600" y="453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241</xdr:row>
      <xdr:rowOff>90487</xdr:rowOff>
    </xdr:from>
    <xdr:ext cx="65" cy="172227"/>
    <xdr:sp macro="" textlink="">
      <xdr:nvSpPr>
        <xdr:cNvPr id="531" name="TextBox 530"/>
        <xdr:cNvSpPr txBox="1"/>
      </xdr:nvSpPr>
      <xdr:spPr>
        <a:xfrm>
          <a:off x="5943600" y="453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241</xdr:row>
      <xdr:rowOff>90487</xdr:rowOff>
    </xdr:from>
    <xdr:ext cx="65" cy="172227"/>
    <xdr:sp macro="" textlink="">
      <xdr:nvSpPr>
        <xdr:cNvPr id="532" name="TextBox 531"/>
        <xdr:cNvSpPr txBox="1"/>
      </xdr:nvSpPr>
      <xdr:spPr>
        <a:xfrm>
          <a:off x="5943600" y="453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241</xdr:row>
      <xdr:rowOff>90487</xdr:rowOff>
    </xdr:from>
    <xdr:ext cx="65" cy="172227"/>
    <xdr:sp macro="" textlink="">
      <xdr:nvSpPr>
        <xdr:cNvPr id="533" name="TextBox 532"/>
        <xdr:cNvSpPr txBox="1"/>
      </xdr:nvSpPr>
      <xdr:spPr>
        <a:xfrm>
          <a:off x="5943600" y="453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241</xdr:row>
      <xdr:rowOff>90487</xdr:rowOff>
    </xdr:from>
    <xdr:ext cx="65" cy="172227"/>
    <xdr:sp macro="" textlink="">
      <xdr:nvSpPr>
        <xdr:cNvPr id="534" name="TextBox 533"/>
        <xdr:cNvSpPr txBox="1"/>
      </xdr:nvSpPr>
      <xdr:spPr>
        <a:xfrm>
          <a:off x="5943600" y="453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241</xdr:row>
      <xdr:rowOff>90487</xdr:rowOff>
    </xdr:from>
    <xdr:ext cx="65" cy="172227"/>
    <xdr:sp macro="" textlink="">
      <xdr:nvSpPr>
        <xdr:cNvPr id="535" name="TextBox 534"/>
        <xdr:cNvSpPr txBox="1"/>
      </xdr:nvSpPr>
      <xdr:spPr>
        <a:xfrm>
          <a:off x="5943600" y="453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241</xdr:row>
      <xdr:rowOff>90487</xdr:rowOff>
    </xdr:from>
    <xdr:ext cx="65" cy="172227"/>
    <xdr:sp macro="" textlink="">
      <xdr:nvSpPr>
        <xdr:cNvPr id="536" name="TextBox 535"/>
        <xdr:cNvSpPr txBox="1"/>
      </xdr:nvSpPr>
      <xdr:spPr>
        <a:xfrm>
          <a:off x="5943600" y="453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241</xdr:row>
      <xdr:rowOff>90487</xdr:rowOff>
    </xdr:from>
    <xdr:ext cx="65" cy="172227"/>
    <xdr:sp macro="" textlink="">
      <xdr:nvSpPr>
        <xdr:cNvPr id="537" name="TextBox 536"/>
        <xdr:cNvSpPr txBox="1"/>
      </xdr:nvSpPr>
      <xdr:spPr>
        <a:xfrm>
          <a:off x="5943600" y="453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241</xdr:row>
      <xdr:rowOff>90487</xdr:rowOff>
    </xdr:from>
    <xdr:ext cx="65" cy="172227"/>
    <xdr:sp macro="" textlink="">
      <xdr:nvSpPr>
        <xdr:cNvPr id="538" name="TextBox 537"/>
        <xdr:cNvSpPr txBox="1"/>
      </xdr:nvSpPr>
      <xdr:spPr>
        <a:xfrm>
          <a:off x="5943600" y="453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241</xdr:row>
      <xdr:rowOff>90487</xdr:rowOff>
    </xdr:from>
    <xdr:ext cx="65" cy="172227"/>
    <xdr:sp macro="" textlink="">
      <xdr:nvSpPr>
        <xdr:cNvPr id="539" name="TextBox 538"/>
        <xdr:cNvSpPr txBox="1"/>
      </xdr:nvSpPr>
      <xdr:spPr>
        <a:xfrm>
          <a:off x="5943600" y="453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241</xdr:row>
      <xdr:rowOff>90487</xdr:rowOff>
    </xdr:from>
    <xdr:ext cx="65" cy="172227"/>
    <xdr:sp macro="" textlink="">
      <xdr:nvSpPr>
        <xdr:cNvPr id="540" name="TextBox 539"/>
        <xdr:cNvSpPr txBox="1"/>
      </xdr:nvSpPr>
      <xdr:spPr>
        <a:xfrm>
          <a:off x="5943600" y="453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241</xdr:row>
      <xdr:rowOff>90487</xdr:rowOff>
    </xdr:from>
    <xdr:ext cx="65" cy="172227"/>
    <xdr:sp macro="" textlink="">
      <xdr:nvSpPr>
        <xdr:cNvPr id="541" name="TextBox 540"/>
        <xdr:cNvSpPr txBox="1"/>
      </xdr:nvSpPr>
      <xdr:spPr>
        <a:xfrm>
          <a:off x="5943600" y="453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241</xdr:row>
      <xdr:rowOff>90487</xdr:rowOff>
    </xdr:from>
    <xdr:ext cx="65" cy="172227"/>
    <xdr:sp macro="" textlink="">
      <xdr:nvSpPr>
        <xdr:cNvPr id="542" name="TextBox 541"/>
        <xdr:cNvSpPr txBox="1"/>
      </xdr:nvSpPr>
      <xdr:spPr>
        <a:xfrm>
          <a:off x="5943600" y="453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241</xdr:row>
      <xdr:rowOff>90487</xdr:rowOff>
    </xdr:from>
    <xdr:ext cx="65" cy="172227"/>
    <xdr:sp macro="" textlink="">
      <xdr:nvSpPr>
        <xdr:cNvPr id="543" name="TextBox 542"/>
        <xdr:cNvSpPr txBox="1"/>
      </xdr:nvSpPr>
      <xdr:spPr>
        <a:xfrm>
          <a:off x="5943600" y="453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241</xdr:row>
      <xdr:rowOff>90487</xdr:rowOff>
    </xdr:from>
    <xdr:ext cx="65" cy="172227"/>
    <xdr:sp macro="" textlink="">
      <xdr:nvSpPr>
        <xdr:cNvPr id="544" name="TextBox 543"/>
        <xdr:cNvSpPr txBox="1"/>
      </xdr:nvSpPr>
      <xdr:spPr>
        <a:xfrm>
          <a:off x="5943600" y="453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241</xdr:row>
      <xdr:rowOff>90487</xdr:rowOff>
    </xdr:from>
    <xdr:ext cx="65" cy="172227"/>
    <xdr:sp macro="" textlink="">
      <xdr:nvSpPr>
        <xdr:cNvPr id="545" name="TextBox 544"/>
        <xdr:cNvSpPr txBox="1"/>
      </xdr:nvSpPr>
      <xdr:spPr>
        <a:xfrm>
          <a:off x="5943600" y="4535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245</xdr:row>
      <xdr:rowOff>90487</xdr:rowOff>
    </xdr:from>
    <xdr:ext cx="65" cy="172227"/>
    <xdr:sp macro="" textlink="">
      <xdr:nvSpPr>
        <xdr:cNvPr id="546" name="TextBox 545"/>
        <xdr:cNvSpPr txBox="1"/>
      </xdr:nvSpPr>
      <xdr:spPr>
        <a:xfrm>
          <a:off x="5943600" y="461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245</xdr:row>
      <xdr:rowOff>90487</xdr:rowOff>
    </xdr:from>
    <xdr:ext cx="65" cy="172227"/>
    <xdr:sp macro="" textlink="">
      <xdr:nvSpPr>
        <xdr:cNvPr id="547" name="TextBox 546"/>
        <xdr:cNvSpPr txBox="1"/>
      </xdr:nvSpPr>
      <xdr:spPr>
        <a:xfrm>
          <a:off x="5943600" y="461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245</xdr:row>
      <xdr:rowOff>90487</xdr:rowOff>
    </xdr:from>
    <xdr:ext cx="65" cy="172227"/>
    <xdr:sp macro="" textlink="">
      <xdr:nvSpPr>
        <xdr:cNvPr id="548" name="TextBox 547"/>
        <xdr:cNvSpPr txBox="1"/>
      </xdr:nvSpPr>
      <xdr:spPr>
        <a:xfrm>
          <a:off x="5943600" y="461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245</xdr:row>
      <xdr:rowOff>90487</xdr:rowOff>
    </xdr:from>
    <xdr:ext cx="65" cy="172227"/>
    <xdr:sp macro="" textlink="">
      <xdr:nvSpPr>
        <xdr:cNvPr id="549" name="TextBox 548"/>
        <xdr:cNvSpPr txBox="1"/>
      </xdr:nvSpPr>
      <xdr:spPr>
        <a:xfrm>
          <a:off x="5943600" y="461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245</xdr:row>
      <xdr:rowOff>90487</xdr:rowOff>
    </xdr:from>
    <xdr:ext cx="65" cy="172227"/>
    <xdr:sp macro="" textlink="">
      <xdr:nvSpPr>
        <xdr:cNvPr id="550" name="TextBox 549"/>
        <xdr:cNvSpPr txBox="1"/>
      </xdr:nvSpPr>
      <xdr:spPr>
        <a:xfrm>
          <a:off x="5943600" y="461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245</xdr:row>
      <xdr:rowOff>90487</xdr:rowOff>
    </xdr:from>
    <xdr:ext cx="65" cy="172227"/>
    <xdr:sp macro="" textlink="">
      <xdr:nvSpPr>
        <xdr:cNvPr id="551" name="TextBox 550"/>
        <xdr:cNvSpPr txBox="1"/>
      </xdr:nvSpPr>
      <xdr:spPr>
        <a:xfrm>
          <a:off x="5943600" y="461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245</xdr:row>
      <xdr:rowOff>90487</xdr:rowOff>
    </xdr:from>
    <xdr:ext cx="65" cy="172227"/>
    <xdr:sp macro="" textlink="">
      <xdr:nvSpPr>
        <xdr:cNvPr id="552" name="TextBox 551"/>
        <xdr:cNvSpPr txBox="1"/>
      </xdr:nvSpPr>
      <xdr:spPr>
        <a:xfrm>
          <a:off x="5943600" y="461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245</xdr:row>
      <xdr:rowOff>90487</xdr:rowOff>
    </xdr:from>
    <xdr:ext cx="65" cy="172227"/>
    <xdr:sp macro="" textlink="">
      <xdr:nvSpPr>
        <xdr:cNvPr id="553" name="TextBox 552"/>
        <xdr:cNvSpPr txBox="1"/>
      </xdr:nvSpPr>
      <xdr:spPr>
        <a:xfrm>
          <a:off x="5943600" y="461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245</xdr:row>
      <xdr:rowOff>90487</xdr:rowOff>
    </xdr:from>
    <xdr:ext cx="65" cy="172227"/>
    <xdr:sp macro="" textlink="">
      <xdr:nvSpPr>
        <xdr:cNvPr id="554" name="TextBox 553"/>
        <xdr:cNvSpPr txBox="1"/>
      </xdr:nvSpPr>
      <xdr:spPr>
        <a:xfrm>
          <a:off x="5943600" y="461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245</xdr:row>
      <xdr:rowOff>90487</xdr:rowOff>
    </xdr:from>
    <xdr:ext cx="65" cy="172227"/>
    <xdr:sp macro="" textlink="">
      <xdr:nvSpPr>
        <xdr:cNvPr id="555" name="TextBox 554"/>
        <xdr:cNvSpPr txBox="1"/>
      </xdr:nvSpPr>
      <xdr:spPr>
        <a:xfrm>
          <a:off x="5943600" y="461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245</xdr:row>
      <xdr:rowOff>90487</xdr:rowOff>
    </xdr:from>
    <xdr:ext cx="65" cy="172227"/>
    <xdr:sp macro="" textlink="">
      <xdr:nvSpPr>
        <xdr:cNvPr id="556" name="TextBox 555"/>
        <xdr:cNvSpPr txBox="1"/>
      </xdr:nvSpPr>
      <xdr:spPr>
        <a:xfrm>
          <a:off x="5943600" y="461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245</xdr:row>
      <xdr:rowOff>90487</xdr:rowOff>
    </xdr:from>
    <xdr:ext cx="65" cy="172227"/>
    <xdr:sp macro="" textlink="">
      <xdr:nvSpPr>
        <xdr:cNvPr id="557" name="TextBox 556"/>
        <xdr:cNvSpPr txBox="1"/>
      </xdr:nvSpPr>
      <xdr:spPr>
        <a:xfrm>
          <a:off x="5943600" y="461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245</xdr:row>
      <xdr:rowOff>90487</xdr:rowOff>
    </xdr:from>
    <xdr:ext cx="65" cy="172227"/>
    <xdr:sp macro="" textlink="">
      <xdr:nvSpPr>
        <xdr:cNvPr id="558" name="TextBox 557"/>
        <xdr:cNvSpPr txBox="1"/>
      </xdr:nvSpPr>
      <xdr:spPr>
        <a:xfrm>
          <a:off x="5943600" y="461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245</xdr:row>
      <xdr:rowOff>90487</xdr:rowOff>
    </xdr:from>
    <xdr:ext cx="65" cy="172227"/>
    <xdr:sp macro="" textlink="">
      <xdr:nvSpPr>
        <xdr:cNvPr id="559" name="TextBox 558"/>
        <xdr:cNvSpPr txBox="1"/>
      </xdr:nvSpPr>
      <xdr:spPr>
        <a:xfrm>
          <a:off x="5943600" y="461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245</xdr:row>
      <xdr:rowOff>90487</xdr:rowOff>
    </xdr:from>
    <xdr:ext cx="65" cy="172227"/>
    <xdr:sp macro="" textlink="">
      <xdr:nvSpPr>
        <xdr:cNvPr id="560" name="TextBox 559"/>
        <xdr:cNvSpPr txBox="1"/>
      </xdr:nvSpPr>
      <xdr:spPr>
        <a:xfrm>
          <a:off x="5943600" y="461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245</xdr:row>
      <xdr:rowOff>90487</xdr:rowOff>
    </xdr:from>
    <xdr:ext cx="65" cy="172227"/>
    <xdr:sp macro="" textlink="">
      <xdr:nvSpPr>
        <xdr:cNvPr id="561" name="TextBox 560"/>
        <xdr:cNvSpPr txBox="1"/>
      </xdr:nvSpPr>
      <xdr:spPr>
        <a:xfrm>
          <a:off x="5943600" y="461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245</xdr:row>
      <xdr:rowOff>90487</xdr:rowOff>
    </xdr:from>
    <xdr:ext cx="65" cy="172227"/>
    <xdr:sp macro="" textlink="">
      <xdr:nvSpPr>
        <xdr:cNvPr id="562" name="TextBox 561"/>
        <xdr:cNvSpPr txBox="1"/>
      </xdr:nvSpPr>
      <xdr:spPr>
        <a:xfrm>
          <a:off x="5943600" y="461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245</xdr:row>
      <xdr:rowOff>90487</xdr:rowOff>
    </xdr:from>
    <xdr:ext cx="65" cy="172227"/>
    <xdr:sp macro="" textlink="">
      <xdr:nvSpPr>
        <xdr:cNvPr id="563" name="TextBox 562"/>
        <xdr:cNvSpPr txBox="1"/>
      </xdr:nvSpPr>
      <xdr:spPr>
        <a:xfrm>
          <a:off x="5943600" y="461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245</xdr:row>
      <xdr:rowOff>90487</xdr:rowOff>
    </xdr:from>
    <xdr:ext cx="65" cy="172227"/>
    <xdr:sp macro="" textlink="">
      <xdr:nvSpPr>
        <xdr:cNvPr id="564" name="TextBox 563"/>
        <xdr:cNvSpPr txBox="1"/>
      </xdr:nvSpPr>
      <xdr:spPr>
        <a:xfrm>
          <a:off x="5943600" y="461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245</xdr:row>
      <xdr:rowOff>90487</xdr:rowOff>
    </xdr:from>
    <xdr:ext cx="65" cy="172227"/>
    <xdr:sp macro="" textlink="">
      <xdr:nvSpPr>
        <xdr:cNvPr id="565" name="TextBox 564"/>
        <xdr:cNvSpPr txBox="1"/>
      </xdr:nvSpPr>
      <xdr:spPr>
        <a:xfrm>
          <a:off x="5943600" y="461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245</xdr:row>
      <xdr:rowOff>90487</xdr:rowOff>
    </xdr:from>
    <xdr:ext cx="65" cy="172227"/>
    <xdr:sp macro="" textlink="">
      <xdr:nvSpPr>
        <xdr:cNvPr id="566" name="TextBox 565"/>
        <xdr:cNvSpPr txBox="1"/>
      </xdr:nvSpPr>
      <xdr:spPr>
        <a:xfrm>
          <a:off x="5943600" y="461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245</xdr:row>
      <xdr:rowOff>90487</xdr:rowOff>
    </xdr:from>
    <xdr:ext cx="65" cy="172227"/>
    <xdr:sp macro="" textlink="">
      <xdr:nvSpPr>
        <xdr:cNvPr id="567" name="TextBox 566"/>
        <xdr:cNvSpPr txBox="1"/>
      </xdr:nvSpPr>
      <xdr:spPr>
        <a:xfrm>
          <a:off x="5943600" y="4611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256</xdr:row>
      <xdr:rowOff>90487</xdr:rowOff>
    </xdr:from>
    <xdr:ext cx="65" cy="172227"/>
    <xdr:sp macro="" textlink="">
      <xdr:nvSpPr>
        <xdr:cNvPr id="568" name="TextBox 567"/>
        <xdr:cNvSpPr txBox="1"/>
      </xdr:nvSpPr>
      <xdr:spPr>
        <a:xfrm>
          <a:off x="5943600" y="48344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256</xdr:row>
      <xdr:rowOff>90487</xdr:rowOff>
    </xdr:from>
    <xdr:ext cx="65" cy="172227"/>
    <xdr:sp macro="" textlink="">
      <xdr:nvSpPr>
        <xdr:cNvPr id="569" name="TextBox 568"/>
        <xdr:cNvSpPr txBox="1"/>
      </xdr:nvSpPr>
      <xdr:spPr>
        <a:xfrm>
          <a:off x="5943600" y="48344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252</xdr:row>
      <xdr:rowOff>90487</xdr:rowOff>
    </xdr:from>
    <xdr:ext cx="65" cy="172227"/>
    <xdr:sp macro="" textlink="">
      <xdr:nvSpPr>
        <xdr:cNvPr id="570" name="TextBox 569"/>
        <xdr:cNvSpPr txBox="1"/>
      </xdr:nvSpPr>
      <xdr:spPr>
        <a:xfrm>
          <a:off x="5943600" y="47572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252</xdr:row>
      <xdr:rowOff>90487</xdr:rowOff>
    </xdr:from>
    <xdr:ext cx="65" cy="172227"/>
    <xdr:sp macro="" textlink="">
      <xdr:nvSpPr>
        <xdr:cNvPr id="571" name="TextBox 570"/>
        <xdr:cNvSpPr txBox="1"/>
      </xdr:nvSpPr>
      <xdr:spPr>
        <a:xfrm>
          <a:off x="5943600" y="47572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276</xdr:row>
      <xdr:rowOff>90487</xdr:rowOff>
    </xdr:from>
    <xdr:ext cx="65" cy="172227"/>
    <xdr:sp macro="" textlink="">
      <xdr:nvSpPr>
        <xdr:cNvPr id="572" name="TextBox 571"/>
        <xdr:cNvSpPr txBox="1"/>
      </xdr:nvSpPr>
      <xdr:spPr>
        <a:xfrm>
          <a:off x="5943600" y="522017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276</xdr:row>
      <xdr:rowOff>90487</xdr:rowOff>
    </xdr:from>
    <xdr:ext cx="65" cy="172227"/>
    <xdr:sp macro="" textlink="">
      <xdr:nvSpPr>
        <xdr:cNvPr id="573" name="TextBox 572"/>
        <xdr:cNvSpPr txBox="1"/>
      </xdr:nvSpPr>
      <xdr:spPr>
        <a:xfrm>
          <a:off x="5943600" y="522017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284</xdr:row>
      <xdr:rowOff>90487</xdr:rowOff>
    </xdr:from>
    <xdr:ext cx="65" cy="172227"/>
    <xdr:sp macro="" textlink="">
      <xdr:nvSpPr>
        <xdr:cNvPr id="574" name="TextBox 573"/>
        <xdr:cNvSpPr txBox="1"/>
      </xdr:nvSpPr>
      <xdr:spPr>
        <a:xfrm>
          <a:off x="5943600" y="537448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284</xdr:row>
      <xdr:rowOff>90487</xdr:rowOff>
    </xdr:from>
    <xdr:ext cx="65" cy="172227"/>
    <xdr:sp macro="" textlink="">
      <xdr:nvSpPr>
        <xdr:cNvPr id="575" name="TextBox 574"/>
        <xdr:cNvSpPr txBox="1"/>
      </xdr:nvSpPr>
      <xdr:spPr>
        <a:xfrm>
          <a:off x="5943600" y="537448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272</xdr:row>
      <xdr:rowOff>90487</xdr:rowOff>
    </xdr:from>
    <xdr:ext cx="65" cy="172227"/>
    <xdr:sp macro="" textlink="">
      <xdr:nvSpPr>
        <xdr:cNvPr id="576" name="TextBox 575"/>
        <xdr:cNvSpPr txBox="1"/>
      </xdr:nvSpPr>
      <xdr:spPr>
        <a:xfrm>
          <a:off x="5943600" y="514302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272</xdr:row>
      <xdr:rowOff>90487</xdr:rowOff>
    </xdr:from>
    <xdr:ext cx="65" cy="172227"/>
    <xdr:sp macro="" textlink="">
      <xdr:nvSpPr>
        <xdr:cNvPr id="577" name="TextBox 576"/>
        <xdr:cNvSpPr txBox="1"/>
      </xdr:nvSpPr>
      <xdr:spPr>
        <a:xfrm>
          <a:off x="5943600" y="514302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280</xdr:row>
      <xdr:rowOff>90487</xdr:rowOff>
    </xdr:from>
    <xdr:ext cx="65" cy="172227"/>
    <xdr:sp macro="" textlink="">
      <xdr:nvSpPr>
        <xdr:cNvPr id="578" name="TextBox 577"/>
        <xdr:cNvSpPr txBox="1"/>
      </xdr:nvSpPr>
      <xdr:spPr>
        <a:xfrm>
          <a:off x="5943600" y="5297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280</xdr:row>
      <xdr:rowOff>90487</xdr:rowOff>
    </xdr:from>
    <xdr:ext cx="65" cy="172227"/>
    <xdr:sp macro="" textlink="">
      <xdr:nvSpPr>
        <xdr:cNvPr id="579" name="TextBox 578"/>
        <xdr:cNvSpPr txBox="1"/>
      </xdr:nvSpPr>
      <xdr:spPr>
        <a:xfrm>
          <a:off x="5943600" y="5297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289</xdr:row>
      <xdr:rowOff>90487</xdr:rowOff>
    </xdr:from>
    <xdr:ext cx="65" cy="172227"/>
    <xdr:sp macro="" textlink="">
      <xdr:nvSpPr>
        <xdr:cNvPr id="580" name="TextBox 579"/>
        <xdr:cNvSpPr txBox="1"/>
      </xdr:nvSpPr>
      <xdr:spPr>
        <a:xfrm>
          <a:off x="5943600" y="546973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289</xdr:row>
      <xdr:rowOff>90487</xdr:rowOff>
    </xdr:from>
    <xdr:ext cx="65" cy="172227"/>
    <xdr:sp macro="" textlink="">
      <xdr:nvSpPr>
        <xdr:cNvPr id="581" name="TextBox 580"/>
        <xdr:cNvSpPr txBox="1"/>
      </xdr:nvSpPr>
      <xdr:spPr>
        <a:xfrm>
          <a:off x="5943600" y="546973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289</xdr:row>
      <xdr:rowOff>90487</xdr:rowOff>
    </xdr:from>
    <xdr:ext cx="65" cy="172227"/>
    <xdr:sp macro="" textlink="">
      <xdr:nvSpPr>
        <xdr:cNvPr id="582" name="TextBox 581"/>
        <xdr:cNvSpPr txBox="1"/>
      </xdr:nvSpPr>
      <xdr:spPr>
        <a:xfrm>
          <a:off x="5943600" y="546973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289</xdr:row>
      <xdr:rowOff>90487</xdr:rowOff>
    </xdr:from>
    <xdr:ext cx="65" cy="172227"/>
    <xdr:sp macro="" textlink="">
      <xdr:nvSpPr>
        <xdr:cNvPr id="583" name="TextBox 582"/>
        <xdr:cNvSpPr txBox="1"/>
      </xdr:nvSpPr>
      <xdr:spPr>
        <a:xfrm>
          <a:off x="5943600" y="546973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268</xdr:row>
      <xdr:rowOff>90487</xdr:rowOff>
    </xdr:from>
    <xdr:ext cx="65" cy="172227"/>
    <xdr:sp macro="" textlink="">
      <xdr:nvSpPr>
        <xdr:cNvPr id="584" name="TextBox 583"/>
        <xdr:cNvSpPr txBox="1"/>
      </xdr:nvSpPr>
      <xdr:spPr>
        <a:xfrm>
          <a:off x="5943600" y="5065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268</xdr:row>
      <xdr:rowOff>90487</xdr:rowOff>
    </xdr:from>
    <xdr:ext cx="65" cy="172227"/>
    <xdr:sp macro="" textlink="">
      <xdr:nvSpPr>
        <xdr:cNvPr id="585" name="TextBox 584"/>
        <xdr:cNvSpPr txBox="1"/>
      </xdr:nvSpPr>
      <xdr:spPr>
        <a:xfrm>
          <a:off x="5943600" y="5065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268</xdr:row>
      <xdr:rowOff>90487</xdr:rowOff>
    </xdr:from>
    <xdr:ext cx="65" cy="172227"/>
    <xdr:sp macro="" textlink="">
      <xdr:nvSpPr>
        <xdr:cNvPr id="586" name="TextBox 585"/>
        <xdr:cNvSpPr txBox="1"/>
      </xdr:nvSpPr>
      <xdr:spPr>
        <a:xfrm>
          <a:off x="5943600" y="5065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268</xdr:row>
      <xdr:rowOff>90487</xdr:rowOff>
    </xdr:from>
    <xdr:ext cx="65" cy="172227"/>
    <xdr:sp macro="" textlink="">
      <xdr:nvSpPr>
        <xdr:cNvPr id="587" name="TextBox 586"/>
        <xdr:cNvSpPr txBox="1"/>
      </xdr:nvSpPr>
      <xdr:spPr>
        <a:xfrm>
          <a:off x="5943600" y="50658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264</xdr:row>
      <xdr:rowOff>90487</xdr:rowOff>
    </xdr:from>
    <xdr:ext cx="65" cy="172227"/>
    <xdr:sp macro="" textlink="">
      <xdr:nvSpPr>
        <xdr:cNvPr id="588" name="TextBox 587"/>
        <xdr:cNvSpPr txBox="1"/>
      </xdr:nvSpPr>
      <xdr:spPr>
        <a:xfrm>
          <a:off x="5943600" y="498871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264</xdr:row>
      <xdr:rowOff>90487</xdr:rowOff>
    </xdr:from>
    <xdr:ext cx="65" cy="172227"/>
    <xdr:sp macro="" textlink="">
      <xdr:nvSpPr>
        <xdr:cNvPr id="589" name="TextBox 588"/>
        <xdr:cNvSpPr txBox="1"/>
      </xdr:nvSpPr>
      <xdr:spPr>
        <a:xfrm>
          <a:off x="5943600" y="498871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264</xdr:row>
      <xdr:rowOff>90487</xdr:rowOff>
    </xdr:from>
    <xdr:ext cx="65" cy="172227"/>
    <xdr:sp macro="" textlink="">
      <xdr:nvSpPr>
        <xdr:cNvPr id="590" name="TextBox 589"/>
        <xdr:cNvSpPr txBox="1"/>
      </xdr:nvSpPr>
      <xdr:spPr>
        <a:xfrm>
          <a:off x="5943600" y="498871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264</xdr:row>
      <xdr:rowOff>90487</xdr:rowOff>
    </xdr:from>
    <xdr:ext cx="65" cy="172227"/>
    <xdr:sp macro="" textlink="">
      <xdr:nvSpPr>
        <xdr:cNvPr id="591" name="TextBox 590"/>
        <xdr:cNvSpPr txBox="1"/>
      </xdr:nvSpPr>
      <xdr:spPr>
        <a:xfrm>
          <a:off x="5943600" y="498871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260</xdr:row>
      <xdr:rowOff>90487</xdr:rowOff>
    </xdr:from>
    <xdr:ext cx="65" cy="172227"/>
    <xdr:sp macro="" textlink="">
      <xdr:nvSpPr>
        <xdr:cNvPr id="592" name="TextBox 591"/>
        <xdr:cNvSpPr txBox="1"/>
      </xdr:nvSpPr>
      <xdr:spPr>
        <a:xfrm>
          <a:off x="5943600" y="49115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260</xdr:row>
      <xdr:rowOff>90487</xdr:rowOff>
    </xdr:from>
    <xdr:ext cx="65" cy="172227"/>
    <xdr:sp macro="" textlink="">
      <xdr:nvSpPr>
        <xdr:cNvPr id="593" name="TextBox 592"/>
        <xdr:cNvSpPr txBox="1"/>
      </xdr:nvSpPr>
      <xdr:spPr>
        <a:xfrm>
          <a:off x="5943600" y="49115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260</xdr:row>
      <xdr:rowOff>90487</xdr:rowOff>
    </xdr:from>
    <xdr:ext cx="65" cy="172227"/>
    <xdr:sp macro="" textlink="">
      <xdr:nvSpPr>
        <xdr:cNvPr id="594" name="TextBox 593"/>
        <xdr:cNvSpPr txBox="1"/>
      </xdr:nvSpPr>
      <xdr:spPr>
        <a:xfrm>
          <a:off x="5943600" y="49115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260</xdr:row>
      <xdr:rowOff>90487</xdr:rowOff>
    </xdr:from>
    <xdr:ext cx="65" cy="172227"/>
    <xdr:sp macro="" textlink="">
      <xdr:nvSpPr>
        <xdr:cNvPr id="595" name="TextBox 594"/>
        <xdr:cNvSpPr txBox="1"/>
      </xdr:nvSpPr>
      <xdr:spPr>
        <a:xfrm>
          <a:off x="5943600" y="49115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256</xdr:row>
      <xdr:rowOff>90487</xdr:rowOff>
    </xdr:from>
    <xdr:ext cx="65" cy="172227"/>
    <xdr:sp macro="" textlink="">
      <xdr:nvSpPr>
        <xdr:cNvPr id="596" name="TextBox 595"/>
        <xdr:cNvSpPr txBox="1"/>
      </xdr:nvSpPr>
      <xdr:spPr>
        <a:xfrm>
          <a:off x="5943600" y="48344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256</xdr:row>
      <xdr:rowOff>90487</xdr:rowOff>
    </xdr:from>
    <xdr:ext cx="65" cy="172227"/>
    <xdr:sp macro="" textlink="">
      <xdr:nvSpPr>
        <xdr:cNvPr id="597" name="TextBox 596"/>
        <xdr:cNvSpPr txBox="1"/>
      </xdr:nvSpPr>
      <xdr:spPr>
        <a:xfrm>
          <a:off x="5943600" y="48344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260</xdr:row>
      <xdr:rowOff>90487</xdr:rowOff>
    </xdr:from>
    <xdr:ext cx="65" cy="172227"/>
    <xdr:sp macro="" textlink="">
      <xdr:nvSpPr>
        <xdr:cNvPr id="598" name="TextBox 597"/>
        <xdr:cNvSpPr txBox="1"/>
      </xdr:nvSpPr>
      <xdr:spPr>
        <a:xfrm>
          <a:off x="5943600" y="49115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260</xdr:row>
      <xdr:rowOff>90487</xdr:rowOff>
    </xdr:from>
    <xdr:ext cx="65" cy="172227"/>
    <xdr:sp macro="" textlink="">
      <xdr:nvSpPr>
        <xdr:cNvPr id="599" name="TextBox 598"/>
        <xdr:cNvSpPr txBox="1"/>
      </xdr:nvSpPr>
      <xdr:spPr>
        <a:xfrm>
          <a:off x="5943600" y="49115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260</xdr:row>
      <xdr:rowOff>90487</xdr:rowOff>
    </xdr:from>
    <xdr:ext cx="65" cy="172227"/>
    <xdr:sp macro="" textlink="">
      <xdr:nvSpPr>
        <xdr:cNvPr id="600" name="TextBox 599"/>
        <xdr:cNvSpPr txBox="1"/>
      </xdr:nvSpPr>
      <xdr:spPr>
        <a:xfrm>
          <a:off x="5943600" y="49115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260</xdr:row>
      <xdr:rowOff>90487</xdr:rowOff>
    </xdr:from>
    <xdr:ext cx="65" cy="172227"/>
    <xdr:sp macro="" textlink="">
      <xdr:nvSpPr>
        <xdr:cNvPr id="601" name="TextBox 600"/>
        <xdr:cNvSpPr txBox="1"/>
      </xdr:nvSpPr>
      <xdr:spPr>
        <a:xfrm>
          <a:off x="5943600" y="49115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272</xdr:row>
      <xdr:rowOff>90487</xdr:rowOff>
    </xdr:from>
    <xdr:ext cx="65" cy="172227"/>
    <xdr:sp macro="" textlink="">
      <xdr:nvSpPr>
        <xdr:cNvPr id="602" name="TextBox 601"/>
        <xdr:cNvSpPr txBox="1"/>
      </xdr:nvSpPr>
      <xdr:spPr>
        <a:xfrm>
          <a:off x="5943600" y="514302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272</xdr:row>
      <xdr:rowOff>90487</xdr:rowOff>
    </xdr:from>
    <xdr:ext cx="65" cy="172227"/>
    <xdr:sp macro="" textlink="">
      <xdr:nvSpPr>
        <xdr:cNvPr id="603" name="TextBox 602"/>
        <xdr:cNvSpPr txBox="1"/>
      </xdr:nvSpPr>
      <xdr:spPr>
        <a:xfrm>
          <a:off x="5943600" y="514302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272</xdr:row>
      <xdr:rowOff>90487</xdr:rowOff>
    </xdr:from>
    <xdr:ext cx="65" cy="172227"/>
    <xdr:sp macro="" textlink="">
      <xdr:nvSpPr>
        <xdr:cNvPr id="604" name="TextBox 603"/>
        <xdr:cNvSpPr txBox="1"/>
      </xdr:nvSpPr>
      <xdr:spPr>
        <a:xfrm>
          <a:off x="5943600" y="514302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272</xdr:row>
      <xdr:rowOff>90487</xdr:rowOff>
    </xdr:from>
    <xdr:ext cx="65" cy="172227"/>
    <xdr:sp macro="" textlink="">
      <xdr:nvSpPr>
        <xdr:cNvPr id="605" name="TextBox 604"/>
        <xdr:cNvSpPr txBox="1"/>
      </xdr:nvSpPr>
      <xdr:spPr>
        <a:xfrm>
          <a:off x="5943600" y="514302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276</xdr:row>
      <xdr:rowOff>90487</xdr:rowOff>
    </xdr:from>
    <xdr:ext cx="65" cy="172227"/>
    <xdr:sp macro="" textlink="">
      <xdr:nvSpPr>
        <xdr:cNvPr id="606" name="TextBox 605"/>
        <xdr:cNvSpPr txBox="1"/>
      </xdr:nvSpPr>
      <xdr:spPr>
        <a:xfrm>
          <a:off x="5943600" y="522017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276</xdr:row>
      <xdr:rowOff>90487</xdr:rowOff>
    </xdr:from>
    <xdr:ext cx="65" cy="172227"/>
    <xdr:sp macro="" textlink="">
      <xdr:nvSpPr>
        <xdr:cNvPr id="607" name="TextBox 606"/>
        <xdr:cNvSpPr txBox="1"/>
      </xdr:nvSpPr>
      <xdr:spPr>
        <a:xfrm>
          <a:off x="5943600" y="522017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276</xdr:row>
      <xdr:rowOff>90487</xdr:rowOff>
    </xdr:from>
    <xdr:ext cx="65" cy="172227"/>
    <xdr:sp macro="" textlink="">
      <xdr:nvSpPr>
        <xdr:cNvPr id="608" name="TextBox 607"/>
        <xdr:cNvSpPr txBox="1"/>
      </xdr:nvSpPr>
      <xdr:spPr>
        <a:xfrm>
          <a:off x="5943600" y="522017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276</xdr:row>
      <xdr:rowOff>90487</xdr:rowOff>
    </xdr:from>
    <xdr:ext cx="65" cy="172227"/>
    <xdr:sp macro="" textlink="">
      <xdr:nvSpPr>
        <xdr:cNvPr id="609" name="TextBox 608"/>
        <xdr:cNvSpPr txBox="1"/>
      </xdr:nvSpPr>
      <xdr:spPr>
        <a:xfrm>
          <a:off x="5943600" y="522017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276</xdr:row>
      <xdr:rowOff>90487</xdr:rowOff>
    </xdr:from>
    <xdr:ext cx="65" cy="172227"/>
    <xdr:sp macro="" textlink="">
      <xdr:nvSpPr>
        <xdr:cNvPr id="610" name="TextBox 609"/>
        <xdr:cNvSpPr txBox="1"/>
      </xdr:nvSpPr>
      <xdr:spPr>
        <a:xfrm>
          <a:off x="5943600" y="522017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276</xdr:row>
      <xdr:rowOff>90487</xdr:rowOff>
    </xdr:from>
    <xdr:ext cx="65" cy="172227"/>
    <xdr:sp macro="" textlink="">
      <xdr:nvSpPr>
        <xdr:cNvPr id="611" name="TextBox 610"/>
        <xdr:cNvSpPr txBox="1"/>
      </xdr:nvSpPr>
      <xdr:spPr>
        <a:xfrm>
          <a:off x="5943600" y="522017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280</xdr:row>
      <xdr:rowOff>90487</xdr:rowOff>
    </xdr:from>
    <xdr:ext cx="65" cy="172227"/>
    <xdr:sp macro="" textlink="">
      <xdr:nvSpPr>
        <xdr:cNvPr id="612" name="TextBox 611"/>
        <xdr:cNvSpPr txBox="1"/>
      </xdr:nvSpPr>
      <xdr:spPr>
        <a:xfrm>
          <a:off x="5943600" y="5297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280</xdr:row>
      <xdr:rowOff>90487</xdr:rowOff>
    </xdr:from>
    <xdr:ext cx="65" cy="172227"/>
    <xdr:sp macro="" textlink="">
      <xdr:nvSpPr>
        <xdr:cNvPr id="613" name="TextBox 612"/>
        <xdr:cNvSpPr txBox="1"/>
      </xdr:nvSpPr>
      <xdr:spPr>
        <a:xfrm>
          <a:off x="5943600" y="5297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280</xdr:row>
      <xdr:rowOff>90487</xdr:rowOff>
    </xdr:from>
    <xdr:ext cx="65" cy="172227"/>
    <xdr:sp macro="" textlink="">
      <xdr:nvSpPr>
        <xdr:cNvPr id="614" name="TextBox 613"/>
        <xdr:cNvSpPr txBox="1"/>
      </xdr:nvSpPr>
      <xdr:spPr>
        <a:xfrm>
          <a:off x="5943600" y="5297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280</xdr:row>
      <xdr:rowOff>90487</xdr:rowOff>
    </xdr:from>
    <xdr:ext cx="65" cy="172227"/>
    <xdr:sp macro="" textlink="">
      <xdr:nvSpPr>
        <xdr:cNvPr id="615" name="TextBox 614"/>
        <xdr:cNvSpPr txBox="1"/>
      </xdr:nvSpPr>
      <xdr:spPr>
        <a:xfrm>
          <a:off x="5943600" y="5297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280</xdr:row>
      <xdr:rowOff>90487</xdr:rowOff>
    </xdr:from>
    <xdr:ext cx="65" cy="172227"/>
    <xdr:sp macro="" textlink="">
      <xdr:nvSpPr>
        <xdr:cNvPr id="616" name="TextBox 615"/>
        <xdr:cNvSpPr txBox="1"/>
      </xdr:nvSpPr>
      <xdr:spPr>
        <a:xfrm>
          <a:off x="5943600" y="5297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280</xdr:row>
      <xdr:rowOff>90487</xdr:rowOff>
    </xdr:from>
    <xdr:ext cx="65" cy="172227"/>
    <xdr:sp macro="" textlink="">
      <xdr:nvSpPr>
        <xdr:cNvPr id="617" name="TextBox 616"/>
        <xdr:cNvSpPr txBox="1"/>
      </xdr:nvSpPr>
      <xdr:spPr>
        <a:xfrm>
          <a:off x="5943600" y="5297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280</xdr:row>
      <xdr:rowOff>90487</xdr:rowOff>
    </xdr:from>
    <xdr:ext cx="65" cy="172227"/>
    <xdr:sp macro="" textlink="">
      <xdr:nvSpPr>
        <xdr:cNvPr id="618" name="TextBox 617"/>
        <xdr:cNvSpPr txBox="1"/>
      </xdr:nvSpPr>
      <xdr:spPr>
        <a:xfrm>
          <a:off x="5943600" y="5297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485775</xdr:colOff>
      <xdr:row>280</xdr:row>
      <xdr:rowOff>90487</xdr:rowOff>
    </xdr:from>
    <xdr:ext cx="65" cy="172227"/>
    <xdr:sp macro="" textlink="">
      <xdr:nvSpPr>
        <xdr:cNvPr id="619" name="TextBox 618"/>
        <xdr:cNvSpPr txBox="1"/>
      </xdr:nvSpPr>
      <xdr:spPr>
        <a:xfrm>
          <a:off x="5943600" y="5297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485775</xdr:colOff>
      <xdr:row>113</xdr:row>
      <xdr:rowOff>90487</xdr:rowOff>
    </xdr:from>
    <xdr:ext cx="65" cy="172227"/>
    <xdr:sp macro="" textlink="">
      <xdr:nvSpPr>
        <xdr:cNvPr id="620" name="TextBox 619"/>
        <xdr:cNvSpPr txBox="1"/>
      </xdr:nvSpPr>
      <xdr:spPr>
        <a:xfrm>
          <a:off x="5162550" y="2096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485775</xdr:colOff>
      <xdr:row>113</xdr:row>
      <xdr:rowOff>90487</xdr:rowOff>
    </xdr:from>
    <xdr:ext cx="65" cy="172227"/>
    <xdr:sp macro="" textlink="">
      <xdr:nvSpPr>
        <xdr:cNvPr id="621" name="TextBox 620"/>
        <xdr:cNvSpPr txBox="1"/>
      </xdr:nvSpPr>
      <xdr:spPr>
        <a:xfrm>
          <a:off x="5162550" y="2096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485775</xdr:colOff>
      <xdr:row>113</xdr:row>
      <xdr:rowOff>90487</xdr:rowOff>
    </xdr:from>
    <xdr:ext cx="65" cy="172227"/>
    <xdr:sp macro="" textlink="">
      <xdr:nvSpPr>
        <xdr:cNvPr id="622" name="TextBox 621"/>
        <xdr:cNvSpPr txBox="1"/>
      </xdr:nvSpPr>
      <xdr:spPr>
        <a:xfrm>
          <a:off x="5162550" y="2096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485775</xdr:colOff>
      <xdr:row>113</xdr:row>
      <xdr:rowOff>90487</xdr:rowOff>
    </xdr:from>
    <xdr:ext cx="65" cy="172227"/>
    <xdr:sp macro="" textlink="">
      <xdr:nvSpPr>
        <xdr:cNvPr id="623" name="TextBox 622"/>
        <xdr:cNvSpPr txBox="1"/>
      </xdr:nvSpPr>
      <xdr:spPr>
        <a:xfrm>
          <a:off x="5162550" y="2096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485775</xdr:colOff>
      <xdr:row>113</xdr:row>
      <xdr:rowOff>90487</xdr:rowOff>
    </xdr:from>
    <xdr:ext cx="65" cy="172227"/>
    <xdr:sp macro="" textlink="">
      <xdr:nvSpPr>
        <xdr:cNvPr id="624" name="TextBox 623"/>
        <xdr:cNvSpPr txBox="1"/>
      </xdr:nvSpPr>
      <xdr:spPr>
        <a:xfrm>
          <a:off x="5162550" y="2096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485775</xdr:colOff>
      <xdr:row>113</xdr:row>
      <xdr:rowOff>90487</xdr:rowOff>
    </xdr:from>
    <xdr:ext cx="65" cy="172227"/>
    <xdr:sp macro="" textlink="">
      <xdr:nvSpPr>
        <xdr:cNvPr id="625" name="TextBox 624"/>
        <xdr:cNvSpPr txBox="1"/>
      </xdr:nvSpPr>
      <xdr:spPr>
        <a:xfrm>
          <a:off x="5162550" y="2096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23</xdr:col>
      <xdr:colOff>57150</xdr:colOff>
      <xdr:row>15</xdr:row>
      <xdr:rowOff>57150</xdr:rowOff>
    </xdr:from>
    <xdr:to>
      <xdr:col>30</xdr:col>
      <xdr:colOff>57150</xdr:colOff>
      <xdr:row>29</xdr:row>
      <xdr:rowOff>57150</xdr:rowOff>
    </xdr:to>
    <xdr:graphicFrame macro="">
      <xdr:nvGraphicFramePr>
        <xdr:cNvPr id="626" name="Chart 6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104775</xdr:colOff>
      <xdr:row>16</xdr:row>
      <xdr:rowOff>47625</xdr:rowOff>
    </xdr:from>
    <xdr:to>
      <xdr:col>60</xdr:col>
      <xdr:colOff>361950</xdr:colOff>
      <xdr:row>29</xdr:row>
      <xdr:rowOff>142875</xdr:rowOff>
    </xdr:to>
    <xdr:graphicFrame macro="">
      <xdr:nvGraphicFramePr>
        <xdr:cNvPr id="627" name="Chart 6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11</xdr:row>
      <xdr:rowOff>185737</xdr:rowOff>
    </xdr:from>
    <xdr:to>
      <xdr:col>17</xdr:col>
      <xdr:colOff>457200</xdr:colOff>
      <xdr:row>26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28575</xdr:colOff>
      <xdr:row>0</xdr:row>
      <xdr:rowOff>38100</xdr:rowOff>
    </xdr:from>
    <xdr:ext cx="1508426" cy="3638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3705225" y="38100"/>
              <a:ext cx="1508426" cy="363818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1"/>
                <a:t>Velocity: 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𝑽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𝒎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𝑽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𝒑</m:t>
                          </m:r>
                        </m:sub>
                      </m:sSub>
                    </m:den>
                  </m:f>
                  <m:r>
                    <a:rPr lang="en-US" sz="11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n-US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US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𝑳</m:t>
                              </m:r>
                            </m:e>
                            <m:sub>
                              <m:r>
                                <a:rPr lang="en-US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𝒎</m:t>
                              </m:r>
                            </m:sub>
                          </m:sSub>
                        </m:num>
                        <m:den>
                          <m:sSub>
                            <m:sSubPr>
                              <m:ctrlPr>
                                <a:rPr lang="en-US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US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𝑳</m:t>
                              </m:r>
                            </m:e>
                            <m:sub>
                              <m:r>
                                <a:rPr lang="en-US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𝒑</m:t>
                              </m:r>
                            </m:sub>
                          </m:sSub>
                        </m:den>
                      </m:f>
                    </m:e>
                  </m:rad>
                  <m:r>
                    <a:rPr lang="en-US" sz="11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𝟏</m:t>
                          </m:r>
                        </m:num>
                        <m:den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𝒙</m:t>
                          </m:r>
                        </m:den>
                      </m:f>
                    </m:e>
                  </m:rad>
                </m:oMath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705225" y="38100"/>
              <a:ext cx="1508426" cy="363818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1"/>
                <a:t>Velocity:  </a:t>
              </a:r>
              <a:r>
                <a:rPr lang="en-US" sz="1100" b="1" i="0">
                  <a:latin typeface="Cambria Math" panose="02040503050406030204" pitchFamily="18" charset="0"/>
                </a:rPr>
                <a:t>𝑽_𝒎/𝑽_𝒑 =√(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𝑳_𝒎/𝑳_𝒑 )</a:t>
              </a:r>
              <a:r>
                <a:rPr lang="en-US" sz="1100" b="1" i="0">
                  <a:latin typeface="Cambria Math" panose="02040503050406030204" pitchFamily="18" charset="0"/>
                </a:rPr>
                <a:t>=√(𝟏/𝒙)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6</xdr:col>
      <xdr:colOff>28575</xdr:colOff>
      <xdr:row>2</xdr:row>
      <xdr:rowOff>42862</xdr:rowOff>
    </xdr:from>
    <xdr:ext cx="1875706" cy="5001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3705225" y="461962"/>
              <a:ext cx="1875706" cy="500137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𝑸</m:t>
                            </m:r>
                          </m:e>
                          <m:sub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𝒎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𝑸</m:t>
                            </m:r>
                          </m:e>
                          <m:sub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𝒑</m:t>
                            </m:r>
                          </m:sub>
                        </m:sSub>
                      </m:den>
                    </m:f>
                    <m:r>
                      <a:rPr lang="en-US" sz="11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𝑽</m:t>
                            </m:r>
                          </m:e>
                          <m:sub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𝒎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𝒎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𝑽</m:t>
                            </m:r>
                          </m:e>
                          <m:sub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𝒑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𝒑</m:t>
                            </m:r>
                          </m:sub>
                        </m:sSub>
                      </m:den>
                    </m:f>
                    <m:r>
                      <a:rPr lang="en-US" sz="1100" b="1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𝟏</m:t>
                            </m:r>
                          </m:num>
                          <m:den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𝒙</m:t>
                            </m:r>
                          </m:den>
                        </m:f>
                      </m:e>
                    </m:rad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𝟏</m:t>
                        </m:r>
                      </m:num>
                      <m:den>
                        <m:sSup>
                          <m:sSup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𝒙</m:t>
                            </m:r>
                          </m:e>
                          <m:sup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den>
                    </m:f>
                    <m:r>
                      <a:rPr lang="en-US" sz="1100" b="1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𝒙</m:t>
                        </m:r>
                      </m:e>
                      <m:sup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𝟓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3705225" y="461962"/>
              <a:ext cx="1875706" cy="500137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𝑸_𝒎/𝑸_𝒑 =(𝑽_𝒎 𝑨_𝒎)/(𝑽_𝒑 𝑨_𝒑 )=√(𝟏/𝒙)  𝟏/𝒙^𝟐 =𝒙^(−𝟓/𝟐)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9</xdr:col>
      <xdr:colOff>457200</xdr:colOff>
      <xdr:row>9</xdr:row>
      <xdr:rowOff>90487</xdr:rowOff>
    </xdr:from>
    <xdr:ext cx="65" cy="172227"/>
    <xdr:sp macro="" textlink="">
      <xdr:nvSpPr>
        <xdr:cNvPr id="4" name="TextBox 3"/>
        <xdr:cNvSpPr txBox="1"/>
      </xdr:nvSpPr>
      <xdr:spPr>
        <a:xfrm>
          <a:off x="6705600" y="19097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200025</xdr:colOff>
      <xdr:row>0</xdr:row>
      <xdr:rowOff>47625</xdr:rowOff>
    </xdr:from>
    <xdr:ext cx="1759071" cy="3915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6448425" y="47625"/>
              <a:ext cx="1759071" cy="391517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 panose="02040503050406030204" pitchFamily="18" charset="0"/>
                      </a:rPr>
                      <m:t>𝑭</m:t>
                    </m:r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𝒓</m:t>
                        </m:r>
                      </m:e>
                      <m:sub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n-US" sz="11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𝑽</m:t>
                            </m:r>
                          </m:e>
                          <m:sub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𝒄</m:t>
                            </m:r>
                          </m:sub>
                        </m:sSub>
                      </m:num>
                      <m:den>
                        <m:rad>
                          <m:radPr>
                            <m:degHide m:val="on"/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𝒈</m:t>
                            </m:r>
                            <m:sSub>
                              <m:sSubPr>
                                <m:ctrlPr>
                                  <a:rPr lang="en-US" sz="1100" b="1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</a:rPr>
                                  <m:t>𝒚</m:t>
                                </m:r>
                              </m:e>
                              <m:sub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</a:rPr>
                                  <m:t>𝒄</m:t>
                                </m:r>
                              </m:sub>
                            </m:sSub>
                          </m:e>
                        </m:rad>
                      </m:den>
                    </m:f>
                    <m:r>
                      <a:rPr lang="en-US" sz="11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𝑸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𝒈</m:t>
                            </m:r>
                          </m:e>
                        </m:rad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𝒃</m:t>
                        </m:r>
                        <m:sSubSup>
                          <m:sSubSup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𝒚</m:t>
                            </m:r>
                          </m:e>
                          <m:sub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𝒄</m:t>
                            </m:r>
                          </m:sub>
                          <m:sup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𝟑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/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bSup>
                      </m:den>
                    </m:f>
                    <m:r>
                      <a:rPr lang="en-US" sz="11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6448425" y="47625"/>
              <a:ext cx="1759071" cy="391517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𝑭𝒓_𝒄=𝑽_𝒄/√(𝒈𝒚_𝒄 )=𝑸/(√𝒈 𝒃𝒚_𝒄^(𝟑/𝟐) )=𝟏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9</xdr:col>
      <xdr:colOff>228600</xdr:colOff>
      <xdr:row>2</xdr:row>
      <xdr:rowOff>119062</xdr:rowOff>
    </xdr:from>
    <xdr:ext cx="856517" cy="2048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6477000" y="538162"/>
              <a:ext cx="856517" cy="20480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 panose="02040503050406030204" pitchFamily="18" charset="0"/>
                      </a:rPr>
                      <m:t>𝑸</m:t>
                    </m:r>
                    <m:r>
                      <a:rPr lang="en-US" sz="1100" b="1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𝒈</m:t>
                        </m:r>
                      </m:e>
                    </m:rad>
                    <m:r>
                      <a:rPr lang="en-US" sz="1100" b="1" i="1">
                        <a:latin typeface="Cambria Math" panose="02040503050406030204" pitchFamily="18" charset="0"/>
                      </a:rPr>
                      <m:t>𝒃</m:t>
                    </m:r>
                    <m:sSubSup>
                      <m:sSubSup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𝒚</m:t>
                        </m:r>
                      </m:e>
                      <m:sub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  <m:sup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𝟑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bSup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6477000" y="538162"/>
              <a:ext cx="856517" cy="20480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𝑸=√𝒈 𝒃𝒚_𝒄^(𝟑/𝟐)</a:t>
              </a:r>
              <a:endParaRPr lang="en-US" sz="1100" b="1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</xdr:colOff>
      <xdr:row>6</xdr:row>
      <xdr:rowOff>80962</xdr:rowOff>
    </xdr:from>
    <xdr:ext cx="886974" cy="2823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9096375" y="538162"/>
              <a:ext cx="886974" cy="282385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1"/>
                <a:t>Length: 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𝑳</m:t>
                          </m:r>
                        </m:e>
                        <m:sub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𝒎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𝑳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𝒑</m:t>
                          </m:r>
                        </m:sub>
                      </m:sSub>
                    </m:den>
                  </m:f>
                  <m:r>
                    <a:rPr lang="en-US" sz="1100" b="1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1" i="1">
                          <a:latin typeface="Cambria Math" panose="02040503050406030204" pitchFamily="18" charset="0"/>
                        </a:rPr>
                        <m:t>𝟏</m:t>
                      </m:r>
                    </m:num>
                    <m:den>
                      <m:r>
                        <a:rPr lang="en-US" sz="1100" b="1" i="1">
                          <a:latin typeface="Cambria Math" panose="02040503050406030204" pitchFamily="18" charset="0"/>
                        </a:rPr>
                        <m:t>𝒙</m:t>
                      </m:r>
                    </m:den>
                  </m:f>
                </m:oMath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096375" y="538162"/>
              <a:ext cx="886974" cy="282385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1"/>
                <a:t>Length:  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𝑳_𝒎/</a:t>
              </a:r>
              <a:r>
                <a:rPr lang="en-US" sz="1100" b="1" i="0">
                  <a:latin typeface="Cambria Math" panose="02040503050406030204" pitchFamily="18" charset="0"/>
                </a:rPr>
                <a:t>𝑳_𝒑 =𝟏/𝒙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13</xdr:col>
      <xdr:colOff>371475</xdr:colOff>
      <xdr:row>4</xdr:row>
      <xdr:rowOff>147637</xdr:rowOff>
    </xdr:from>
    <xdr:ext cx="1649811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2334875" y="147637"/>
              <a:ext cx="1649811" cy="219163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1" i="1">
                        <a:latin typeface="Cambria Math" panose="02040503050406030204" pitchFamily="18" charset="0"/>
                      </a:rPr>
                      <m:t>𝑭𝒓𝒐𝒖𝒅𝒆</m:t>
                    </m:r>
                    <m:r>
                      <a:rPr lang="en-US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400" b="1" i="1">
                        <a:latin typeface="Cambria Math" panose="02040503050406030204" pitchFamily="18" charset="0"/>
                      </a:rPr>
                      <m:t>𝑺𝒊𝒎𝒊𝒍𝒂𝒓𝒊𝒕𝒚</m:t>
                    </m:r>
                  </m:oMath>
                </m:oMathPara>
              </a14:m>
              <a:endParaRPr lang="en-US" sz="1400" b="1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2334875" y="147637"/>
              <a:ext cx="1649811" cy="219163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b="1" i="0">
                  <a:latin typeface="Cambria Math" panose="02040503050406030204" pitchFamily="18" charset="0"/>
                </a:rPr>
                <a:t>𝑭𝒓𝒐𝒖𝒅𝒆 𝑺𝒊𝒎𝒊𝒍𝒂𝒓𝒊𝒕𝒚</a:t>
              </a:r>
              <a:endParaRPr lang="en-US" sz="1400" b="1"/>
            </a:p>
          </xdr:txBody>
        </xdr:sp>
      </mc:Fallback>
    </mc:AlternateContent>
    <xdr:clientData/>
  </xdr:oneCellAnchor>
  <xdr:oneCellAnchor>
    <xdr:from>
      <xdr:col>10</xdr:col>
      <xdr:colOff>9525</xdr:colOff>
      <xdr:row>4</xdr:row>
      <xdr:rowOff>166687</xdr:rowOff>
    </xdr:from>
    <xdr:ext cx="1921936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9096375" y="166687"/>
              <a:ext cx="1921936" cy="219163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1" i="1">
                        <a:latin typeface="Cambria Math" panose="02040503050406030204" pitchFamily="18" charset="0"/>
                      </a:rPr>
                      <m:t>𝑮𝒆𝒐𝒎𝒆𝒕𝒓𝒊𝒄</m:t>
                    </m:r>
                    <m:r>
                      <a:rPr lang="en-US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400" b="1" i="1">
                        <a:latin typeface="Cambria Math" panose="02040503050406030204" pitchFamily="18" charset="0"/>
                      </a:rPr>
                      <m:t>𝑺𝒊𝒎𝒊𝒍𝒂𝒓𝒊𝒕𝒚</m:t>
                    </m:r>
                  </m:oMath>
                </m:oMathPara>
              </a14:m>
              <a:endParaRPr lang="en-US" sz="1400" b="1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096375" y="166687"/>
              <a:ext cx="1921936" cy="219163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b="1" i="0">
                  <a:latin typeface="Cambria Math" panose="02040503050406030204" pitchFamily="18" charset="0"/>
                </a:rPr>
                <a:t>𝑮𝒆𝒐𝒎𝒆𝒕𝒓𝒊𝒄 𝑺𝒊𝒎𝒊𝒍𝒂𝒓𝒊𝒕𝒚</a:t>
              </a:r>
              <a:endParaRPr lang="en-US" sz="1400" b="1"/>
            </a:p>
          </xdr:txBody>
        </xdr:sp>
      </mc:Fallback>
    </mc:AlternateContent>
    <xdr:clientData/>
  </xdr:oneCellAnchor>
  <xdr:oneCellAnchor>
    <xdr:from>
      <xdr:col>13</xdr:col>
      <xdr:colOff>409575</xdr:colOff>
      <xdr:row>6</xdr:row>
      <xdr:rowOff>4762</xdr:rowOff>
    </xdr:from>
    <xdr:ext cx="661527" cy="3879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12372975" y="461962"/>
              <a:ext cx="661527" cy="387991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 panose="02040503050406030204" pitchFamily="18" charset="0"/>
                      </a:rPr>
                      <m:t>𝑭𝒓</m:t>
                    </m:r>
                    <m:r>
                      <a:rPr lang="en-US" sz="11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𝑽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𝒈𝑳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2372975" y="461962"/>
              <a:ext cx="661527" cy="387991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𝑭𝒓=𝑽/√𝒈𝑳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14</xdr:col>
      <xdr:colOff>295275</xdr:colOff>
      <xdr:row>6</xdr:row>
      <xdr:rowOff>4762</xdr:rowOff>
    </xdr:from>
    <xdr:ext cx="1508426" cy="3638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13239750" y="461962"/>
              <a:ext cx="1508426" cy="363818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1"/>
                <a:t>Velocity: 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𝑽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𝒎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𝑽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𝒑</m:t>
                          </m:r>
                        </m:sub>
                      </m:sSub>
                    </m:den>
                  </m:f>
                  <m:r>
                    <a:rPr lang="en-US" sz="11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n-US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US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𝑳</m:t>
                              </m:r>
                            </m:e>
                            <m:sub>
                              <m:r>
                                <a:rPr lang="en-US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𝒎</m:t>
                              </m:r>
                            </m:sub>
                          </m:sSub>
                        </m:num>
                        <m:den>
                          <m:sSub>
                            <m:sSubPr>
                              <m:ctrlPr>
                                <a:rPr lang="en-US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US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𝑳</m:t>
                              </m:r>
                            </m:e>
                            <m:sub>
                              <m:r>
                                <a:rPr lang="en-US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𝒑</m:t>
                              </m:r>
                            </m:sub>
                          </m:sSub>
                        </m:den>
                      </m:f>
                    </m:e>
                  </m:rad>
                  <m:r>
                    <a:rPr lang="en-US" sz="11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𝟏</m:t>
                          </m:r>
                        </m:num>
                        <m:den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𝒙</m:t>
                          </m:r>
                        </m:den>
                      </m:f>
                    </m:e>
                  </m:rad>
                </m:oMath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13239750" y="461962"/>
              <a:ext cx="1508426" cy="363818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1"/>
                <a:t>Velocity:  </a:t>
              </a:r>
              <a:r>
                <a:rPr lang="en-US" sz="1100" b="1" i="0">
                  <a:latin typeface="Cambria Math" panose="02040503050406030204" pitchFamily="18" charset="0"/>
                </a:rPr>
                <a:t>𝑽_𝒎/𝑽_𝒑 =√(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𝑳_𝒎/𝑳_𝒑 )</a:t>
              </a:r>
              <a:r>
                <a:rPr lang="en-US" sz="1100" b="1" i="0">
                  <a:latin typeface="Cambria Math" panose="02040503050406030204" pitchFamily="18" charset="0"/>
                </a:rPr>
                <a:t>=√(𝟏/𝒙)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15</xdr:col>
      <xdr:colOff>1009650</xdr:colOff>
      <xdr:row>6</xdr:row>
      <xdr:rowOff>14287</xdr:rowOff>
    </xdr:from>
    <xdr:ext cx="1420453" cy="3461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14849475" y="471487"/>
              <a:ext cx="1420453" cy="34612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1"/>
                <a:t>Time: 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𝒕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𝒎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𝒕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𝒑</m:t>
                          </m:r>
                        </m:sub>
                      </m:sSub>
                    </m:den>
                  </m:f>
                  <m:r>
                    <a:rPr lang="en-US" sz="1100" b="1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1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𝑳</m:t>
                          </m:r>
                        </m:e>
                        <m:sub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𝒎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𝑳</m:t>
                          </m:r>
                        </m:e>
                        <m:sub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𝒑</m:t>
                          </m:r>
                        </m:sub>
                      </m:sSub>
                    </m:den>
                  </m:f>
                  <m:f>
                    <m:fPr>
                      <m:ctrlPr>
                        <a:rPr lang="en-US" sz="11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𝒑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𝒎</m:t>
                          </m:r>
                        </m:sub>
                      </m:sSub>
                    </m:den>
                  </m:f>
                  <m:r>
                    <a:rPr lang="en-US" sz="11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𝟏</m:t>
                          </m:r>
                        </m:num>
                        <m:den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𝒙</m:t>
                          </m:r>
                        </m:den>
                      </m:f>
                    </m:e>
                  </m:rad>
                </m:oMath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14849475" y="471487"/>
              <a:ext cx="1420453" cy="34612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1"/>
                <a:t>Time:  </a:t>
              </a:r>
              <a:r>
                <a:rPr lang="en-US" sz="1100" b="1" i="0">
                  <a:latin typeface="Cambria Math" panose="02040503050406030204" pitchFamily="18" charset="0"/>
                </a:rPr>
                <a:t>𝒕_𝒎/𝒕_𝒑 =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𝑳_𝒎/𝑳_𝒑   𝑽_𝒑/𝑽_𝒎 </a:t>
              </a:r>
              <a:r>
                <a:rPr lang="en-US" sz="1100" b="1" i="0">
                  <a:latin typeface="Cambria Math" panose="02040503050406030204" pitchFamily="18" charset="0"/>
                </a:rPr>
                <a:t>=√(𝟏/𝒙)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13</xdr:col>
      <xdr:colOff>390525</xdr:colOff>
      <xdr:row>8</xdr:row>
      <xdr:rowOff>14287</xdr:rowOff>
    </xdr:from>
    <xdr:ext cx="1095300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12353925" y="928687"/>
              <a:ext cx="1095300" cy="316882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𝑭</m:t>
                        </m:r>
                      </m:e>
                      <m:sub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𝑫</m:t>
                        </m:r>
                      </m:sub>
                    </m:sSub>
                    <m:r>
                      <a:rPr lang="en-US" sz="11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𝟏</m:t>
                        </m:r>
                      </m:num>
                      <m:den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den>
                    </m:f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𝑪</m:t>
                        </m:r>
                      </m:e>
                      <m:sub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𝑫</m:t>
                        </m:r>
                      </m:sub>
                    </m:sSub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n-US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𝑨</m:t>
                    </m:r>
                    <m:sSup>
                      <m:sSupPr>
                        <m:ctrlPr>
                          <a:rPr lang="en-US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</m:t>
                        </m:r>
                      </m:e>
                      <m:sup>
                        <m:r>
                          <a:rPr lang="en-US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12353925" y="928687"/>
              <a:ext cx="1095300" cy="316882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𝑭_𝑫=𝟏/𝟐 𝑪_𝑫</a:t>
              </a:r>
              <a:r>
                <a:rPr lang="en-US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 𝝆_𝒘 𝑨𝑽^𝟐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14</xdr:col>
      <xdr:colOff>666750</xdr:colOff>
      <xdr:row>8</xdr:row>
      <xdr:rowOff>23812</xdr:rowOff>
    </xdr:from>
    <xdr:ext cx="2645532" cy="3208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13611225" y="938212"/>
              <a:ext cx="2645532" cy="320857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1"/>
                <a:t>Force: 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𝑭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𝒎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𝑭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𝒑</m:t>
                          </m:r>
                        </m:sub>
                      </m:sSub>
                    </m:den>
                  </m:f>
                  <m:r>
                    <a:rPr lang="en-US" sz="1100" b="1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1" i="1">
                          <a:latin typeface="Cambria Math" panose="02040503050406030204" pitchFamily="18" charset="0"/>
                        </a:rPr>
                        <m:t>𝟏</m:t>
                      </m:r>
                      <m:r>
                        <a:rPr lang="en-US" sz="1100" b="1" i="1">
                          <a:latin typeface="Cambria Math" panose="02040503050406030204" pitchFamily="18" charset="0"/>
                        </a:rPr>
                        <m:t>/</m:t>
                      </m:r>
                      <m:r>
                        <a:rPr lang="en-US" sz="1100" b="1" i="1">
                          <a:latin typeface="Cambria Math" panose="02040503050406030204" pitchFamily="18" charset="0"/>
                        </a:rPr>
                        <m:t>𝟐</m:t>
                      </m:r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𝑪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𝑫</m:t>
                          </m:r>
                        </m:sub>
                      </m:sSub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𝝆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𝒘</m:t>
                          </m:r>
                        </m:sub>
                      </m:sSub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𝑨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𝒎</m:t>
                          </m:r>
                        </m:sub>
                      </m:sSub>
                      <m:sSubSup>
                        <m:sSubSupPr>
                          <m:ctrlPr>
                            <a:rPr lang="en-US" sz="11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Sup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𝑽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𝒎</m:t>
                          </m:r>
                        </m:sub>
                        <m:sup>
                          <m:r>
                            <a:rPr lang="en-US" sz="11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𝟐</m:t>
                          </m:r>
                        </m:sup>
                      </m:sSubSup>
                    </m:num>
                    <m:den>
                      <m:r>
                        <a:rPr lang="en-US" sz="11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𝟏</m:t>
                      </m:r>
                      <m:r>
                        <a:rPr lang="en-US" sz="11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/</m:t>
                      </m:r>
                      <m:r>
                        <a:rPr lang="en-US" sz="11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𝟐</m:t>
                      </m:r>
                      <m:sSub>
                        <m:sSub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𝑪</m:t>
                          </m:r>
                        </m:e>
                        <m:sub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𝑫</m:t>
                          </m:r>
                        </m:sub>
                      </m:sSub>
                      <m:sSub>
                        <m:sSub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𝝆</m:t>
                          </m:r>
                        </m:e>
                        <m:sub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𝒘</m:t>
                          </m:r>
                        </m:sub>
                      </m:sSub>
                      <m:sSub>
                        <m:sSub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𝑨</m:t>
                          </m:r>
                        </m:e>
                        <m:sub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𝒑</m:t>
                          </m:r>
                        </m:sub>
                      </m:sSub>
                      <m:sSubSup>
                        <m:sSubSup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SupPr>
                        <m:e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𝒑</m:t>
                          </m:r>
                        </m:sub>
                        <m:sup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𝟐</m:t>
                          </m:r>
                        </m:sup>
                      </m:sSubSup>
                    </m:den>
                  </m:f>
                  <m:r>
                    <a:rPr lang="en-US" sz="1100" b="1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𝑨</m:t>
                          </m:r>
                        </m:e>
                        <m:sub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𝒎</m:t>
                          </m:r>
                        </m:sub>
                      </m:sSub>
                      <m:sSubSup>
                        <m:sSubSup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SupPr>
                        <m:e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𝒎</m:t>
                          </m:r>
                        </m:sub>
                        <m:sup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𝟐</m:t>
                          </m:r>
                        </m:sup>
                      </m:sSubSup>
                    </m:num>
                    <m:den>
                      <m:sSub>
                        <m:sSub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𝑨</m:t>
                          </m:r>
                        </m:e>
                        <m:sub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𝒑</m:t>
                          </m:r>
                        </m:sub>
                      </m:sSub>
                      <m:sSubSup>
                        <m:sSubSup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SupPr>
                        <m:e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𝒑</m:t>
                          </m:r>
                        </m:sub>
                        <m:sup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𝟐</m:t>
                          </m:r>
                        </m:sup>
                      </m:sSubSup>
                    </m:den>
                  </m:f>
                  <m:r>
                    <a:rPr lang="en-US" sz="1100" b="1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1" i="1">
                          <a:latin typeface="Cambria Math" panose="02040503050406030204" pitchFamily="18" charset="0"/>
                        </a:rPr>
                        <m:t>𝟏</m:t>
                      </m:r>
                    </m:num>
                    <m:den>
                      <m:sSup>
                        <m:sSup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p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</m:den>
                  </m:f>
                  <m:f>
                    <m:fPr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1" i="1">
                          <a:latin typeface="Cambria Math" panose="02040503050406030204" pitchFamily="18" charset="0"/>
                        </a:rPr>
                        <m:t>𝟏</m:t>
                      </m:r>
                    </m:num>
                    <m:den>
                      <m:r>
                        <a:rPr lang="en-US" sz="1100" b="1" i="1">
                          <a:latin typeface="Cambria Math" panose="02040503050406030204" pitchFamily="18" charset="0"/>
                        </a:rPr>
                        <m:t>𝒙</m:t>
                      </m:r>
                    </m:den>
                  </m:f>
                  <m:r>
                    <a:rPr lang="en-US" sz="1100" b="1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1" i="1">
                          <a:latin typeface="Cambria Math" panose="02040503050406030204" pitchFamily="18" charset="0"/>
                        </a:rPr>
                        <m:t>𝟏</m:t>
                      </m:r>
                    </m:num>
                    <m:den>
                      <m:sSup>
                        <m:sSup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p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𝟑</m:t>
                          </m:r>
                        </m:sup>
                      </m:sSup>
                    </m:den>
                  </m:f>
                </m:oMath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13611225" y="938212"/>
              <a:ext cx="2645532" cy="320857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1"/>
                <a:t>Force:  </a:t>
              </a:r>
              <a:r>
                <a:rPr lang="en-US" sz="1100" b="1" i="0">
                  <a:latin typeface="Cambria Math" panose="02040503050406030204" pitchFamily="18" charset="0"/>
                </a:rPr>
                <a:t>𝑭_𝒎/𝑭_𝒑 =(𝟏/𝟐𝑪_𝑫</a:t>
              </a:r>
              <a:r>
                <a:rPr lang="en-US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 𝝆_𝒘 𝑨_𝒎 𝑽_𝒎^𝟐)/(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𝟏/𝟐𝑪_𝑫 𝝆_𝒘 𝑨_𝒑 𝑽_𝒑^𝟐 )</a:t>
              </a:r>
              <a:r>
                <a:rPr lang="en-US" sz="1100" b="1" i="0">
                  <a:latin typeface="Cambria Math" panose="02040503050406030204" pitchFamily="18" charset="0"/>
                </a:rPr>
                <a:t>=(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𝑨_𝒎 𝑽_𝒎^𝟐)/(𝑨_𝒑 𝑽_𝒑^𝟐 )</a:t>
              </a:r>
              <a:r>
                <a:rPr lang="en-US" sz="1100" b="1" i="0">
                  <a:latin typeface="Cambria Math" panose="02040503050406030204" pitchFamily="18" charset="0"/>
                </a:rPr>
                <a:t>=𝟏/𝒙^𝟐   𝟏/𝒙=𝟏/𝒙^𝟑 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11</xdr:col>
      <xdr:colOff>447675</xdr:colOff>
      <xdr:row>6</xdr:row>
      <xdr:rowOff>57150</xdr:rowOff>
    </xdr:from>
    <xdr:ext cx="1206805" cy="3087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10420350" y="514350"/>
              <a:ext cx="1206805" cy="308739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1"/>
                <a:t>Area: 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𝑨</m:t>
                          </m:r>
                        </m:e>
                        <m:sub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𝒎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𝑨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𝒑</m:t>
                          </m:r>
                        </m:sub>
                      </m:sSub>
                    </m:den>
                  </m:f>
                  <m:r>
                    <a:rPr lang="en-US" sz="1100" b="1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1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𝑳</m:t>
                          </m:r>
                        </m:e>
                        <m:sub>
                          <m:sSup>
                            <m:sSupPr>
                              <m:ctrlPr>
                                <a:rPr lang="en-US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pPr>
                            <m:e>
                              <m:r>
                                <a:rPr lang="en-US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𝒎</m:t>
                              </m:r>
                            </m:e>
                            <m:sup>
                              <m:r>
                                <a:rPr lang="en-US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𝟐</m:t>
                              </m:r>
                            </m:sup>
                          </m:sSup>
                        </m:sub>
                      </m:sSub>
                    </m:num>
                    <m:den>
                      <m:sSubSup>
                        <m:sSubSup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SupPr>
                        <m:e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𝑳</m:t>
                          </m:r>
                        </m:e>
                        <m:sub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𝒑</m:t>
                          </m:r>
                        </m:sub>
                        <m:sup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𝟐</m:t>
                          </m:r>
                        </m:sup>
                      </m:sSubSup>
                    </m:den>
                  </m:f>
                  <m:r>
                    <a:rPr lang="en-US" sz="11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1" i="1">
                          <a:latin typeface="Cambria Math" panose="02040503050406030204" pitchFamily="18" charset="0"/>
                        </a:rPr>
                        <m:t>𝟏</m:t>
                      </m:r>
                    </m:num>
                    <m:den>
                      <m:sSup>
                        <m:sSup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p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</m:den>
                  </m:f>
                </m:oMath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10420350" y="514350"/>
              <a:ext cx="1206805" cy="308739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1"/>
                <a:t>Area:  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𝑨_𝒎/</a:t>
              </a:r>
              <a:r>
                <a:rPr lang="en-US" sz="1100" b="1" i="0">
                  <a:latin typeface="Cambria Math" panose="02040503050406030204" pitchFamily="18" charset="0"/>
                </a:rPr>
                <a:t>𝑨_𝒑 =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𝑳_(𝒎^𝟐 )/(𝑳_𝒑^𝟐 )=</a:t>
              </a:r>
              <a:r>
                <a:rPr lang="en-US" sz="1100" b="1" i="0">
                  <a:latin typeface="Cambria Math" panose="02040503050406030204" pitchFamily="18" charset="0"/>
                </a:rPr>
                <a:t>𝟏/𝒙^𝟐 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13</xdr:col>
      <xdr:colOff>381000</xdr:colOff>
      <xdr:row>10</xdr:row>
      <xdr:rowOff>4762</xdr:rowOff>
    </xdr:from>
    <xdr:ext cx="2494529" cy="2823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12344400" y="1376362"/>
              <a:ext cx="2494529" cy="282385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1"/>
                <a:t>Bending Stiffness:</a:t>
              </a:r>
              <a:r>
                <a:rPr lang="en-US" sz="1100" b="1" baseline="0"/>
                <a:t> 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𝑲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𝒎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𝑲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𝒑</m:t>
                          </m:r>
                        </m:sub>
                      </m:sSub>
                    </m:den>
                  </m:f>
                  <m:r>
                    <a:rPr lang="en-US" sz="1100" b="1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𝑭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𝒎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𝑭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𝒑</m:t>
                          </m:r>
                        </m:sub>
                      </m:sSub>
                    </m:den>
                  </m:f>
                  <m:f>
                    <m:fPr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𝒘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𝒑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𝒘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𝒎</m:t>
                          </m:r>
                        </m:sub>
                      </m:sSub>
                    </m:den>
                  </m:f>
                  <m:r>
                    <a:rPr lang="en-US" sz="1100" b="1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1" i="1">
                          <a:latin typeface="Cambria Math" panose="02040503050406030204" pitchFamily="18" charset="0"/>
                        </a:rPr>
                        <m:t>𝟏</m:t>
                      </m:r>
                    </m:num>
                    <m:den>
                      <m:sSup>
                        <m:sSup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p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𝟑</m:t>
                          </m:r>
                        </m:sup>
                      </m:sSup>
                    </m:den>
                  </m:f>
                  <m:r>
                    <a:rPr lang="en-US" sz="1100" b="1" i="1">
                      <a:latin typeface="Cambria Math" panose="02040503050406030204" pitchFamily="18" charset="0"/>
                    </a:rPr>
                    <m:t>𝒙</m:t>
                  </m:r>
                  <m:r>
                    <a:rPr lang="en-US" sz="1100" b="1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1" i="1">
                          <a:latin typeface="Cambria Math" panose="02040503050406030204" pitchFamily="18" charset="0"/>
                        </a:rPr>
                        <m:t>𝟏</m:t>
                      </m:r>
                    </m:num>
                    <m:den>
                      <m:sSup>
                        <m:sSup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p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</m:den>
                  </m:f>
                </m:oMath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12344400" y="1376362"/>
              <a:ext cx="2494529" cy="282385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1"/>
                <a:t>Bending Stiffness:</a:t>
              </a:r>
              <a:r>
                <a:rPr lang="en-US" sz="1100" b="1" baseline="0"/>
                <a:t>  </a:t>
              </a:r>
              <a:r>
                <a:rPr lang="en-US" sz="1100" b="1" i="0">
                  <a:latin typeface="Cambria Math" panose="02040503050406030204" pitchFamily="18" charset="0"/>
                </a:rPr>
                <a:t>𝑲_𝒎/𝑲_𝒑 =𝑭_𝒎/𝑭_𝒑   𝒘_𝒑/𝒘_𝒎 =𝟏/𝒙^𝟑  𝒙=𝟏/𝒙^𝟐 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16</xdr:col>
      <xdr:colOff>28575</xdr:colOff>
      <xdr:row>9</xdr:row>
      <xdr:rowOff>223837</xdr:rowOff>
    </xdr:from>
    <xdr:ext cx="2523640" cy="3104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14992350" y="1366837"/>
              <a:ext cx="2523640" cy="310406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1"/>
                <a:t>Flexural Rigidity: 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𝑱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𝒎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𝑱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𝒑</m:t>
                          </m:r>
                        </m:sub>
                      </m:sSub>
                    </m:den>
                  </m:f>
                  <m:r>
                    <a:rPr lang="en-US" sz="1100" b="1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𝑲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𝒎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𝑲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𝒑</m:t>
                          </m:r>
                        </m:sub>
                      </m:sSub>
                    </m:den>
                  </m:f>
                  <m:f>
                    <m:fPr>
                      <m:ctrlPr>
                        <a:rPr lang="en-US" sz="11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Sup>
                        <m:sSubSup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Sup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𝑳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𝒎</m:t>
                          </m:r>
                        </m:sub>
                        <m:sup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𝟑</m:t>
                          </m:r>
                        </m:sup>
                      </m:sSubSup>
                      <m:r>
                        <a:rPr lang="en-US" sz="1100" b="1" i="1">
                          <a:latin typeface="Cambria Math" panose="02040503050406030204" pitchFamily="18" charset="0"/>
                        </a:rPr>
                        <m:t>/</m:t>
                      </m:r>
                      <m:r>
                        <a:rPr lang="en-US" sz="1100" b="1" i="1">
                          <a:latin typeface="Cambria Math" panose="02040503050406030204" pitchFamily="18" charset="0"/>
                        </a:rPr>
                        <m:t>𝟑</m:t>
                      </m:r>
                    </m:num>
                    <m:den>
                      <m:sSubSup>
                        <m:sSubSupPr>
                          <m:ctrlPr>
                            <a:rPr lang="en-US" sz="1100" b="1" i="1">
                              <a:latin typeface="Cambria Math" panose="02040503050406030204" pitchFamily="18" charset="0"/>
                            </a:rPr>
                          </m:ctrlPr>
                        </m:sSubSupPr>
                        <m:e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𝑳</m:t>
                          </m:r>
                        </m:e>
                        <m:sub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𝒑</m:t>
                          </m:r>
                        </m:sub>
                        <m:sup>
                          <m:r>
                            <a:rPr lang="en-US" sz="1100" b="1" i="1">
                              <a:latin typeface="Cambria Math" panose="02040503050406030204" pitchFamily="18" charset="0"/>
                            </a:rPr>
                            <m:t>𝟑</m:t>
                          </m:r>
                        </m:sup>
                      </m:sSubSup>
                      <m:r>
                        <a:rPr lang="en-US" sz="1100" b="1" i="1">
                          <a:latin typeface="Cambria Math" panose="02040503050406030204" pitchFamily="18" charset="0"/>
                        </a:rPr>
                        <m:t>/</m:t>
                      </m:r>
                      <m:r>
                        <a:rPr lang="en-US" sz="1100" b="1" i="1">
                          <a:latin typeface="Cambria Math" panose="02040503050406030204" pitchFamily="18" charset="0"/>
                        </a:rPr>
                        <m:t>𝟑</m:t>
                      </m:r>
                    </m:den>
                  </m:f>
                  <m:r>
                    <a:rPr lang="en-US" sz="1100" b="1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1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US" sz="11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𝟏</m:t>
                      </m:r>
                    </m:num>
                    <m:den>
                      <m:sSup>
                        <m:sSup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𝒙</m:t>
                          </m:r>
                        </m:e>
                        <m:sup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𝟐</m:t>
                          </m:r>
                        </m:sup>
                      </m:sSup>
                    </m:den>
                  </m:f>
                  <m:f>
                    <m:fPr>
                      <m:ctrlPr>
                        <a:rPr lang="en-US" sz="11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US" sz="11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𝟏</m:t>
                      </m:r>
                    </m:num>
                    <m:den>
                      <m:sSup>
                        <m:sSup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𝒙</m:t>
                          </m:r>
                        </m:e>
                        <m:sup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𝟑</m:t>
                          </m:r>
                        </m:sup>
                      </m:sSup>
                    </m:den>
                  </m:f>
                  <m:r>
                    <a:rPr lang="en-US" sz="11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n-US" sz="11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US" sz="11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𝟏</m:t>
                      </m:r>
                    </m:num>
                    <m:den>
                      <m:sSup>
                        <m:sSupPr>
                          <m:ctrlP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𝒙</m:t>
                          </m:r>
                        </m:e>
                        <m:sup>
                          <m:r>
                            <a:rPr lang="en-US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𝟓</m:t>
                          </m:r>
                        </m:sup>
                      </m:sSup>
                    </m:den>
                  </m:f>
                </m:oMath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14992350" y="1366837"/>
              <a:ext cx="2523640" cy="310406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1"/>
                <a:t>Flexural Rigidity:  </a:t>
              </a:r>
              <a:r>
                <a:rPr lang="en-US" sz="1100" b="1" i="0">
                  <a:latin typeface="Cambria Math" panose="02040503050406030204" pitchFamily="18" charset="0"/>
                </a:rPr>
                <a:t>𝑱_𝒎/𝑱_𝒑 =𝑲_𝒎/𝑲_𝒑   (𝑳_𝒎^𝟑/𝟑)/(𝑳_𝒑^𝟑/𝟑)=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𝟏/𝒙^𝟐   𝟏/𝒙^𝟑 =𝟏/𝒙^𝟓 </a:t>
              </a:r>
              <a:endParaRPr lang="en-US" sz="1100" b="1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1</xdr:row>
      <xdr:rowOff>76200</xdr:rowOff>
    </xdr:from>
    <xdr:to>
      <xdr:col>11</xdr:col>
      <xdr:colOff>590550</xdr:colOff>
      <xdr:row>22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3400" y="1257300"/>
          <a:ext cx="3352800" cy="39624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1</xdr:col>
      <xdr:colOff>28575</xdr:colOff>
      <xdr:row>2</xdr:row>
      <xdr:rowOff>14287</xdr:rowOff>
    </xdr:from>
    <xdr:ext cx="1170705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4600575" y="1252537"/>
              <a:ext cx="1170705" cy="316882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𝐷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𝑤</m:t>
                        </m:r>
                      </m:sub>
                    </m:sSub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</m:t>
                        </m:r>
                      </m:sub>
                    </m:sSub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𝑓</m:t>
                        </m:r>
                      </m:sub>
                    </m:sSub>
                    <m:sSubSup>
                      <m:sSubSup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𝑈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𝐴𝑃</m:t>
                        </m:r>
                      </m:sub>
                      <m:sup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600575" y="1252537"/>
              <a:ext cx="1170705" cy="316882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𝐹_𝐷=1/2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𝜌_𝑤 𝐶_𝐷 𝐴_𝑓 𝑈_𝐴𝑃^2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28575</xdr:colOff>
      <xdr:row>3</xdr:row>
      <xdr:rowOff>166687</xdr:rowOff>
    </xdr:from>
    <xdr:ext cx="1447897" cy="44403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4600575" y="1633537"/>
              <a:ext cx="1447897" cy="444032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𝐹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sub>
                        </m:sSub>
                      </m:e>
                    </m:nary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nary>
                      <m:naryPr>
                        <m:limLoc m:val="undOvr"/>
                        <m:subHide m:val="on"/>
                        <m:supHide m:val="on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𝑈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acc>
                              <m:accPr>
                                <m:chr m:val="⃗"/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</m:acc>
                            <m:r>
                              <a:rPr lang="en-US" sz="11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∙</m:t>
                            </m:r>
                            <m:acc>
                              <m:accPr>
                                <m:chr m:val="̂"/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𝑛</m:t>
                                </m:r>
                              </m:e>
                            </m:acc>
                          </m:e>
                        </m:d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𝑑𝐴</m:t>
                        </m:r>
                      </m:e>
                    </m:nary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4600575" y="1633537"/>
              <a:ext cx="1447897" cy="444032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∑▒</a:t>
              </a:r>
              <a:r>
                <a:rPr lang="en-US" sz="1100" b="0" i="0">
                  <a:latin typeface="Cambria Math" panose="02040503050406030204" pitchFamily="18" charset="0"/>
                </a:rPr>
                <a:t>𝐹_𝑥 =∫1▒𝑈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𝜌(𝑉 ⃗</a:t>
              </a:r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𝑛 ̂ )𝑑𝐴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19050</xdr:colOff>
      <xdr:row>6</xdr:row>
      <xdr:rowOff>4762</xdr:rowOff>
    </xdr:from>
    <xdr:ext cx="2556213" cy="4759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4591050" y="2252662"/>
              <a:ext cx="2556213" cy="47590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𝐹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sub>
                        </m:sSub>
                      </m:e>
                    </m:nary>
                    <m:r>
                      <a:rPr lang="en-US" sz="1100" b="0" i="1">
                        <a:latin typeface="Cambria Math" panose="02040503050406030204" pitchFamily="18" charset="0"/>
                      </a:rPr>
                      <m:t>=−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𝐷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𝐵𝑒𝑑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𝑤</m:t>
                        </m:r>
                      </m:sub>
                    </m:sSub>
                    <m:nary>
                      <m:naryPr>
                        <m:chr m:val="∑"/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𝑖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p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𝑈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d>
                              <m:d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acc>
                                  <m:accPr>
                                    <m:chr m:val="⃗"/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US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𝑉</m:t>
                                    </m:r>
                                  </m:e>
                                </m:acc>
                                <m:r>
                                  <a:rPr lang="en-US" sz="11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∙</m:t>
                                </m:r>
                                <m:acc>
                                  <m:accPr>
                                    <m:chr m:val="̂"/>
                                    <m:ctrlPr>
                                      <a:rPr lang="en-US" sz="110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US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𝑛</m:t>
                                    </m:r>
                                  </m:e>
                                </m:acc>
                              </m:e>
                            </m:d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4591050" y="2252662"/>
              <a:ext cx="2556213" cy="47590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∑▒</a:t>
              </a:r>
              <a:r>
                <a:rPr lang="en-US" sz="1100" b="0" i="0">
                  <a:latin typeface="Cambria Math" panose="02040503050406030204" pitchFamily="18" charset="0"/>
                </a:rPr>
                <a:t>𝐹_𝑥 =−𝐹_𝐷−𝐹_𝐵𝑒𝑑=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𝜌_𝑤 ∑24_(𝑖=1)^2▒〖𝑈_𝑖 (𝑉 ⃗</a:t>
              </a:r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𝑛 ̂ )_𝑖 𝐴_𝑖 〗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9525</xdr:colOff>
      <xdr:row>8</xdr:row>
      <xdr:rowOff>185737</xdr:rowOff>
    </xdr:from>
    <xdr:ext cx="344696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4581525" y="2890837"/>
              <a:ext cx="3446969" cy="172227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𝐷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𝐵𝑒𝑑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=−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𝑤</m:t>
                        </m:r>
                      </m:sub>
                    </m:sSub>
                    <m:d>
                      <m:dPr>
                        <m:begChr m:val="["/>
                        <m:endChr m:val="]"/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𝑈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𝑈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𝑐𝑜𝑠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180°</m:t>
                            </m:r>
                          </m:e>
                        </m:d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𝑈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𝑈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𝑐𝑜𝑠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0°</m:t>
                            </m:r>
                          </m:e>
                        </m:d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4581525" y="2890837"/>
              <a:ext cx="3446969" cy="172227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𝐹_𝐷+𝐹_𝐵𝑒𝑑=−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𝜌_𝑤 [𝑈_1 (𝑈_1 𝑐𝑜𝑠180°) 𝐴_1+𝑈_2 (𝑈_2 𝑐𝑜𝑠0°) 𝐴_2 ]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11</xdr:row>
      <xdr:rowOff>138112</xdr:rowOff>
    </xdr:from>
    <xdr:ext cx="2429961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609600" y="2233612"/>
              <a:ext cx="2429961" cy="316882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𝐷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𝑤</m:t>
                        </m:r>
                      </m:sub>
                    </m:sSub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𝐷</m:t>
                        </m:r>
                      </m:sub>
                    </m:sSub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sub>
                    </m:sSub>
                    <m:sSubSup>
                      <m:sSub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𝑈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𝐴𝑃</m:t>
                        </m:r>
                      </m:sub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bSup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𝑤</m:t>
                        </m:r>
                      </m:sub>
                    </m:sSub>
                    <m:d>
                      <m:dPr>
                        <m:begChr m:val="["/>
                        <m:endChr m:val="]"/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sSubSup>
                          <m:sSubSup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𝑈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sub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p>
                        </m:sSubSup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sSubSup>
                          <m:sSubSup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𝑈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b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p>
                        </m:sSubSup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609600" y="2233612"/>
              <a:ext cx="2429961" cy="316882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𝐹_𝐷=1/2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𝜌_𝑤 </a:t>
              </a:r>
              <a:r>
                <a:rPr lang="en-US" sz="1100" b="0" i="0">
                  <a:latin typeface="Cambria Math" panose="02040503050406030204" pitchFamily="18" charset="0"/>
                </a:rPr>
                <a:t>𝐶_𝐷 𝐴_𝑓 𝑈_𝐴𝑃^2=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𝜌_𝑤 [𝑈_1^2 𝐴_1−𝑈_2^2 𝐴_2 ]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9525</xdr:colOff>
      <xdr:row>13</xdr:row>
      <xdr:rowOff>171450</xdr:rowOff>
    </xdr:from>
    <xdr:ext cx="1344663" cy="4089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619125" y="2647950"/>
              <a:ext cx="1344663" cy="408958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𝐷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Sup>
                              <m:sSubSup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𝑈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  <m:sup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bSup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𝐴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Sup>
                              <m:sSubSup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𝑈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  <m:sup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bSup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𝐴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𝑓</m:t>
                            </m:r>
                          </m:sub>
                        </m:sSub>
                        <m:sSubSup>
                          <m:sSub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𝑈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𝐴𝑃</m:t>
                            </m:r>
                          </m:sub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b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619125" y="2647950"/>
              <a:ext cx="1344663" cy="408958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𝐶_𝐷=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2[𝑈_1^2 𝐴_1−𝑈_2^2 𝐴_2 ]/(</a:t>
              </a:r>
              <a:r>
                <a:rPr lang="en-US" sz="1100" b="0" i="0">
                  <a:latin typeface="Cambria Math" panose="02040503050406030204" pitchFamily="18" charset="0"/>
                </a:rPr>
                <a:t>𝐴_𝑓 𝑈_𝐴𝑃^2 )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457200</xdr:colOff>
      <xdr:row>18</xdr:row>
      <xdr:rowOff>61912</xdr:rowOff>
    </xdr:from>
    <xdr:ext cx="1024960" cy="3213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5105400" y="5014912"/>
              <a:ext cx="1024960" cy="32137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sub>
                        </m:sSub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  <m:sSubSup>
                      <m:sSub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h</m:t>
                        </m:r>
                      </m:sub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2/3</m:t>
                        </m:r>
                      </m:sup>
                    </m:sSubSup>
                    <m:rad>
                      <m:radPr>
                        <m:degHide m:val="on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𝑜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5105400" y="5014912"/>
              <a:ext cx="1024960" cy="32137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𝑉=𝑘_𝑚/𝑛 𝑅_ℎ^(2/3) √(𝑆_𝑜 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752475</xdr:colOff>
      <xdr:row>63</xdr:row>
      <xdr:rowOff>38100</xdr:rowOff>
    </xdr:from>
    <xdr:ext cx="1024960" cy="3213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2181225" y="13830300"/>
              <a:ext cx="1024960" cy="32137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sub>
                        </m:sSub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  <m:sSubSup>
                      <m:sSub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h</m:t>
                        </m:r>
                      </m:sub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2/3</m:t>
                        </m:r>
                      </m:sup>
                    </m:sSubSup>
                    <m:rad>
                      <m:radPr>
                        <m:degHide m:val="on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𝑜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2181225" y="13830300"/>
              <a:ext cx="1024960" cy="32137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𝑉=𝑘_𝑚/𝑛 𝑅_ℎ^(2/3) √(𝑆_𝑜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771525</xdr:colOff>
      <xdr:row>65</xdr:row>
      <xdr:rowOff>109537</xdr:rowOff>
    </xdr:from>
    <xdr:ext cx="1015599" cy="3213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2200275" y="14292262"/>
              <a:ext cx="1015599" cy="32137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sub>
                        </m:sSub>
                      </m:num>
                      <m:den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den>
                    </m:f>
                    <m:sSubSup>
                      <m:sSubSup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h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2/3</m:t>
                        </m:r>
                      </m:sup>
                    </m:sSubSup>
                    <m:rad>
                      <m:radPr>
                        <m:degHide m:val="on"/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𝑜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2200275" y="14292262"/>
              <a:ext cx="1015599" cy="32137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𝑛=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𝑘_𝑚/𝑉 𝑅_ℎ^(2/3) √(𝑆_𝑜 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590550</xdr:colOff>
      <xdr:row>83</xdr:row>
      <xdr:rowOff>9525</xdr:rowOff>
    </xdr:from>
    <xdr:ext cx="1024960" cy="3213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2019300" y="16392525"/>
              <a:ext cx="1024960" cy="32137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sub>
                        </m:sSub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  <m:sSubSup>
                      <m:sSub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h</m:t>
                        </m:r>
                      </m:sub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2/3</m:t>
                        </m:r>
                      </m:sup>
                    </m:sSubSup>
                    <m:rad>
                      <m:radPr>
                        <m:degHide m:val="on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𝑜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2019300" y="16392525"/>
              <a:ext cx="1024960" cy="32137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𝑉=𝑘_𝑚/𝑛 𝑅_ℎ^(2/3) √(𝑆_𝑜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609600</xdr:colOff>
      <xdr:row>85</xdr:row>
      <xdr:rowOff>166687</xdr:rowOff>
    </xdr:from>
    <xdr:ext cx="1015599" cy="3213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2038350" y="16930687"/>
              <a:ext cx="1015599" cy="32137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sub>
                        </m:sSub>
                      </m:num>
                      <m:den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den>
                    </m:f>
                    <m:sSubSup>
                      <m:sSubSup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h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2/3</m:t>
                        </m:r>
                      </m:sup>
                    </m:sSubSup>
                    <m:rad>
                      <m:radPr>
                        <m:degHide m:val="on"/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𝑜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2038350" y="16930687"/>
              <a:ext cx="1015599" cy="32137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𝑛=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𝑘_𝑚/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𝑅_ℎ^(2/3) √(𝑆_𝑜 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295275</xdr:colOff>
      <xdr:row>89</xdr:row>
      <xdr:rowOff>28575</xdr:rowOff>
    </xdr:from>
    <xdr:ext cx="1024960" cy="3213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724025" y="19259550"/>
              <a:ext cx="1024960" cy="32137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sub>
                        </m:sSub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  <m:sSubSup>
                      <m:sSub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h</m:t>
                        </m:r>
                      </m:sub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2/3</m:t>
                        </m:r>
                      </m:sup>
                    </m:sSubSup>
                    <m:rad>
                      <m:radPr>
                        <m:degHide m:val="on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𝑜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724025" y="19259550"/>
              <a:ext cx="1024960" cy="32137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𝑉=𝑘_𝑚/𝑛 𝑅_ℎ^(2/3) √(𝑆_𝑜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333375</xdr:colOff>
      <xdr:row>90</xdr:row>
      <xdr:rowOff>223837</xdr:rowOff>
    </xdr:from>
    <xdr:ext cx="1015599" cy="3213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762125" y="19692937"/>
              <a:ext cx="1015599" cy="32137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sub>
                        </m:sSub>
                      </m:num>
                      <m:den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den>
                    </m:f>
                    <m:sSubSup>
                      <m:sSubSup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h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2/3</m:t>
                        </m:r>
                      </m:sup>
                    </m:sSubSup>
                    <m:rad>
                      <m:radPr>
                        <m:degHide m:val="on"/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𝑜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762125" y="19692937"/>
              <a:ext cx="1015599" cy="32137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𝑛=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𝑘_𝑚/𝑉 𝑅_ℎ^(2/3) √(𝑆_𝑜 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95</xdr:row>
      <xdr:rowOff>9525</xdr:rowOff>
    </xdr:from>
    <xdr:ext cx="1024960" cy="3213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2019300" y="19354800"/>
              <a:ext cx="1024960" cy="32137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sub>
                        </m:sSub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  <m:sSubSup>
                      <m:sSub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h</m:t>
                        </m:r>
                      </m:sub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2/3</m:t>
                        </m:r>
                      </m:sup>
                    </m:sSubSup>
                    <m:rad>
                      <m:radPr>
                        <m:degHide m:val="on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𝑜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2019300" y="19354800"/>
              <a:ext cx="1024960" cy="32137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𝑉=𝑘_𝑚/𝑛 𝑅_ℎ^(2/3) √(𝑆_𝑜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97</xdr:row>
      <xdr:rowOff>166687</xdr:rowOff>
    </xdr:from>
    <xdr:ext cx="1015599" cy="3213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2038350" y="19950112"/>
              <a:ext cx="1015599" cy="32137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sub>
                        </m:sSub>
                      </m:num>
                      <m:den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den>
                    </m:f>
                    <m:sSubSup>
                      <m:sSubSup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h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2/3</m:t>
                        </m:r>
                      </m:sup>
                    </m:sSubSup>
                    <m:rad>
                      <m:radPr>
                        <m:degHide m:val="on"/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𝑜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2038350" y="19950112"/>
              <a:ext cx="1015599" cy="32137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𝑛=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𝑘_𝑚/𝑉 𝑅_ℎ^(2/3) √(𝑆_𝑜 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51</xdr:row>
      <xdr:rowOff>128587</xdr:rowOff>
    </xdr:from>
    <xdr:to>
      <xdr:col>18</xdr:col>
      <xdr:colOff>104775</xdr:colOff>
      <xdr:row>64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252412</xdr:colOff>
      <xdr:row>2</xdr:row>
      <xdr:rowOff>104775</xdr:rowOff>
    </xdr:from>
    <xdr:to>
      <xdr:col>15</xdr:col>
      <xdr:colOff>247650</xdr:colOff>
      <xdr:row>20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381000</xdr:colOff>
      <xdr:row>2</xdr:row>
      <xdr:rowOff>133350</xdr:rowOff>
    </xdr:from>
    <xdr:to>
      <xdr:col>24</xdr:col>
      <xdr:colOff>376238</xdr:colOff>
      <xdr:row>21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workbookViewId="0">
      <selection activeCell="A4" sqref="A4"/>
    </sheetView>
  </sheetViews>
  <sheetFormatPr defaultRowHeight="15"/>
  <cols>
    <col min="1" max="1" width="13.5703125" bestFit="1" customWidth="1"/>
    <col min="2" max="2" width="11.7109375" bestFit="1" customWidth="1"/>
    <col min="3" max="3" width="15.28515625" bestFit="1" customWidth="1"/>
    <col min="6" max="7" width="12.7109375" bestFit="1" customWidth="1"/>
    <col min="8" max="8" width="16.140625" bestFit="1" customWidth="1"/>
    <col min="9" max="9" width="16.7109375" bestFit="1" customWidth="1"/>
    <col min="10" max="11" width="12.7109375" bestFit="1" customWidth="1"/>
    <col min="12" max="12" width="15.28515625" bestFit="1" customWidth="1"/>
    <col min="14" max="14" width="15.28515625" bestFit="1" customWidth="1"/>
  </cols>
  <sheetData>
    <row r="1" spans="1:13">
      <c r="A1" t="s">
        <v>367</v>
      </c>
    </row>
    <row r="2" spans="1:13">
      <c r="A2" t="s">
        <v>368</v>
      </c>
    </row>
    <row r="3" spans="1:13">
      <c r="A3" s="259">
        <v>42184</v>
      </c>
    </row>
    <row r="6" spans="1:13" ht="18">
      <c r="A6" s="3" t="s">
        <v>355</v>
      </c>
      <c r="B6" s="3" t="s">
        <v>356</v>
      </c>
      <c r="C6" s="3" t="s">
        <v>357</v>
      </c>
      <c r="D6" s="3" t="s">
        <v>358</v>
      </c>
      <c r="E6" s="3" t="s">
        <v>359</v>
      </c>
      <c r="F6" s="3" t="s">
        <v>360</v>
      </c>
      <c r="G6" s="3" t="s">
        <v>361</v>
      </c>
      <c r="H6" s="3" t="s">
        <v>362</v>
      </c>
      <c r="I6" s="3" t="s">
        <v>363</v>
      </c>
      <c r="J6" s="3" t="s">
        <v>364</v>
      </c>
    </row>
    <row r="7" spans="1:13">
      <c r="A7" s="3">
        <v>1</v>
      </c>
      <c r="B7" s="3">
        <v>86</v>
      </c>
      <c r="C7" s="3">
        <v>35</v>
      </c>
      <c r="D7" s="3">
        <f>CONVERT(C7,"in","cm")</f>
        <v>88.9</v>
      </c>
      <c r="E7" s="3">
        <v>0.25</v>
      </c>
      <c r="F7" s="3">
        <v>0.2</v>
      </c>
      <c r="G7" s="3">
        <f>AVERAGE(E7:F7)</f>
        <v>0.22500000000000001</v>
      </c>
      <c r="H7" s="3">
        <v>1.2</v>
      </c>
      <c r="I7" s="3">
        <v>22.2</v>
      </c>
      <c r="J7" s="3">
        <v>8</v>
      </c>
    </row>
    <row r="8" spans="1:13">
      <c r="A8" s="3">
        <v>1</v>
      </c>
      <c r="B8" s="3">
        <v>86</v>
      </c>
      <c r="C8" s="3">
        <v>59</v>
      </c>
      <c r="D8" s="3">
        <f t="shared" ref="D8:D71" si="0">CONVERT(C8,"in","cm")</f>
        <v>149.85999999999999</v>
      </c>
      <c r="E8" s="3">
        <v>0.45</v>
      </c>
      <c r="F8" s="3">
        <v>0.25</v>
      </c>
      <c r="G8" s="3">
        <f t="shared" ref="G8:G71" si="1">AVERAGE(E8:F8)</f>
        <v>0.35</v>
      </c>
      <c r="H8" s="3">
        <v>1.6</v>
      </c>
      <c r="I8" s="3">
        <v>27.1</v>
      </c>
      <c r="J8" s="3">
        <v>7</v>
      </c>
    </row>
    <row r="9" spans="1:13">
      <c r="A9" s="3">
        <v>1</v>
      </c>
      <c r="B9" s="3">
        <v>86</v>
      </c>
      <c r="C9" s="3">
        <v>20</v>
      </c>
      <c r="D9" s="3">
        <f t="shared" si="0"/>
        <v>50.8</v>
      </c>
      <c r="E9" s="3">
        <v>0.2</v>
      </c>
      <c r="F9" s="3">
        <v>0.15</v>
      </c>
      <c r="G9" s="3">
        <f t="shared" si="1"/>
        <v>0.17499999999999999</v>
      </c>
      <c r="H9" s="3">
        <v>0.65</v>
      </c>
      <c r="I9" s="3">
        <v>17</v>
      </c>
      <c r="J9" s="3">
        <v>5</v>
      </c>
    </row>
    <row r="10" spans="1:13">
      <c r="A10" s="3">
        <v>1</v>
      </c>
      <c r="B10" s="3">
        <v>86</v>
      </c>
      <c r="C10" s="3">
        <v>40</v>
      </c>
      <c r="D10" s="3">
        <f t="shared" si="0"/>
        <v>101.6</v>
      </c>
      <c r="E10" s="3">
        <v>0.35</v>
      </c>
      <c r="F10" s="3">
        <v>0.2</v>
      </c>
      <c r="G10" s="3">
        <f t="shared" si="1"/>
        <v>0.27500000000000002</v>
      </c>
      <c r="H10" s="3">
        <v>1</v>
      </c>
      <c r="I10" s="3">
        <v>19.5</v>
      </c>
      <c r="J10" s="3">
        <v>6</v>
      </c>
      <c r="L10" t="s">
        <v>365</v>
      </c>
      <c r="M10">
        <f>AVERAGE(G7:G86)</f>
        <v>0.26093749999999988</v>
      </c>
    </row>
    <row r="11" spans="1:13">
      <c r="A11" s="3">
        <v>1</v>
      </c>
      <c r="B11" s="3">
        <v>86</v>
      </c>
      <c r="C11" s="3">
        <v>70</v>
      </c>
      <c r="D11" s="3">
        <f t="shared" si="0"/>
        <v>177.8</v>
      </c>
      <c r="E11" s="3">
        <v>0.4</v>
      </c>
      <c r="F11" s="3">
        <v>0.25</v>
      </c>
      <c r="G11" s="3">
        <f t="shared" si="1"/>
        <v>0.32500000000000001</v>
      </c>
      <c r="H11" s="3">
        <v>1.5</v>
      </c>
      <c r="I11" s="3">
        <v>25.5</v>
      </c>
      <c r="J11" s="3">
        <v>6</v>
      </c>
      <c r="L11" t="s">
        <v>366</v>
      </c>
      <c r="M11">
        <f>AVERAGE(D7:D86)</f>
        <v>106.80699999999999</v>
      </c>
    </row>
    <row r="12" spans="1:13">
      <c r="A12" s="3">
        <v>1</v>
      </c>
      <c r="B12" s="3">
        <v>86</v>
      </c>
      <c r="C12" s="3">
        <v>66</v>
      </c>
      <c r="D12" s="3">
        <f t="shared" si="0"/>
        <v>167.64</v>
      </c>
      <c r="E12" s="3">
        <v>0.4</v>
      </c>
      <c r="F12" s="3">
        <v>0.3</v>
      </c>
      <c r="G12" s="3">
        <f t="shared" si="1"/>
        <v>0.35</v>
      </c>
      <c r="H12" s="3">
        <v>1.65</v>
      </c>
      <c r="I12" s="3">
        <v>33.5</v>
      </c>
      <c r="J12" s="3">
        <v>7</v>
      </c>
    </row>
    <row r="13" spans="1:13">
      <c r="A13" s="3">
        <v>1</v>
      </c>
      <c r="B13" s="3">
        <v>86</v>
      </c>
      <c r="C13" s="3">
        <v>25</v>
      </c>
      <c r="D13" s="3">
        <f t="shared" si="0"/>
        <v>63.5</v>
      </c>
      <c r="E13" s="3">
        <v>0.15</v>
      </c>
      <c r="F13" s="3">
        <v>0.1</v>
      </c>
      <c r="G13" s="3">
        <f t="shared" si="1"/>
        <v>0.125</v>
      </c>
      <c r="H13" s="3">
        <v>0.65</v>
      </c>
      <c r="I13" s="3">
        <v>17.5</v>
      </c>
      <c r="J13" s="3">
        <v>7</v>
      </c>
    </row>
    <row r="14" spans="1:13">
      <c r="A14" s="3">
        <v>1</v>
      </c>
      <c r="B14" s="3">
        <v>86</v>
      </c>
      <c r="C14" s="3">
        <v>34</v>
      </c>
      <c r="D14" s="3">
        <f t="shared" si="0"/>
        <v>86.36</v>
      </c>
      <c r="E14" s="3">
        <v>0.3</v>
      </c>
      <c r="F14" s="3">
        <v>0.15</v>
      </c>
      <c r="G14" s="3">
        <f t="shared" si="1"/>
        <v>0.22499999999999998</v>
      </c>
      <c r="H14" s="3">
        <v>1.05</v>
      </c>
      <c r="I14" s="3">
        <v>20.399999999999999</v>
      </c>
      <c r="J14" s="3">
        <v>8</v>
      </c>
    </row>
    <row r="15" spans="1:13">
      <c r="A15" s="3">
        <v>1</v>
      </c>
      <c r="B15" s="3">
        <v>86</v>
      </c>
      <c r="C15" s="3">
        <v>24</v>
      </c>
      <c r="D15" s="3">
        <f t="shared" si="0"/>
        <v>60.96</v>
      </c>
      <c r="E15" s="3">
        <v>0.15</v>
      </c>
      <c r="F15" s="3">
        <v>0.1</v>
      </c>
      <c r="G15" s="3">
        <f t="shared" si="1"/>
        <v>0.125</v>
      </c>
      <c r="H15" s="3">
        <v>0.75</v>
      </c>
      <c r="I15" s="3">
        <v>16.2</v>
      </c>
      <c r="J15" s="3">
        <v>7</v>
      </c>
    </row>
    <row r="16" spans="1:13">
      <c r="A16" s="3">
        <v>1</v>
      </c>
      <c r="B16" s="3">
        <v>86</v>
      </c>
      <c r="C16" s="3">
        <v>62</v>
      </c>
      <c r="D16" s="3">
        <f t="shared" si="0"/>
        <v>157.47999999999999</v>
      </c>
      <c r="E16" s="3">
        <v>0.35</v>
      </c>
      <c r="F16" s="3">
        <v>0.2</v>
      </c>
      <c r="G16" s="3">
        <f t="shared" si="1"/>
        <v>0.27500000000000002</v>
      </c>
      <c r="H16" s="3">
        <v>1.3</v>
      </c>
      <c r="I16" s="3">
        <v>25.2</v>
      </c>
      <c r="J16" s="3">
        <v>6</v>
      </c>
    </row>
    <row r="17" spans="1:10">
      <c r="A17" s="3">
        <v>2</v>
      </c>
      <c r="B17" s="3">
        <v>21</v>
      </c>
      <c r="C17" s="3">
        <v>67</v>
      </c>
      <c r="D17" s="3">
        <f t="shared" si="0"/>
        <v>170.18</v>
      </c>
      <c r="E17" s="3">
        <v>0.35</v>
      </c>
      <c r="F17" s="3">
        <v>0.2</v>
      </c>
      <c r="G17" s="3">
        <f t="shared" si="1"/>
        <v>0.27500000000000002</v>
      </c>
      <c r="H17" s="3">
        <v>1.55</v>
      </c>
      <c r="I17" s="3">
        <v>25.6</v>
      </c>
      <c r="J17" s="3">
        <v>7</v>
      </c>
    </row>
    <row r="18" spans="1:10">
      <c r="A18" s="3">
        <v>2</v>
      </c>
      <c r="B18" s="3">
        <v>21</v>
      </c>
      <c r="C18" s="3">
        <v>20</v>
      </c>
      <c r="D18" s="3">
        <f t="shared" si="0"/>
        <v>50.8</v>
      </c>
      <c r="E18" s="3">
        <v>0.2</v>
      </c>
      <c r="F18" s="3">
        <v>0.15</v>
      </c>
      <c r="G18" s="3">
        <f t="shared" si="1"/>
        <v>0.17499999999999999</v>
      </c>
      <c r="H18" s="3">
        <v>0.7</v>
      </c>
      <c r="I18" s="3">
        <v>15.2</v>
      </c>
      <c r="J18" s="3">
        <v>6</v>
      </c>
    </row>
    <row r="19" spans="1:10">
      <c r="A19" s="3">
        <v>2</v>
      </c>
      <c r="B19" s="3">
        <v>21</v>
      </c>
      <c r="C19" s="3">
        <v>12</v>
      </c>
      <c r="D19" s="3">
        <f t="shared" si="0"/>
        <v>30.48</v>
      </c>
      <c r="E19" s="3">
        <v>0.1</v>
      </c>
      <c r="F19" s="3">
        <v>0.1</v>
      </c>
      <c r="G19" s="3">
        <f t="shared" si="1"/>
        <v>0.1</v>
      </c>
      <c r="H19" s="3">
        <v>0.6</v>
      </c>
      <c r="I19" s="3">
        <v>13.6</v>
      </c>
      <c r="J19" s="3">
        <v>5</v>
      </c>
    </row>
    <row r="20" spans="1:10">
      <c r="A20" s="3">
        <v>2</v>
      </c>
      <c r="B20" s="3">
        <v>21</v>
      </c>
      <c r="C20" s="3">
        <v>30</v>
      </c>
      <c r="D20" s="3">
        <f t="shared" si="0"/>
        <v>76.2</v>
      </c>
      <c r="E20" s="3">
        <v>0.3</v>
      </c>
      <c r="F20" s="3">
        <v>0.25</v>
      </c>
      <c r="G20" s="3">
        <f t="shared" si="1"/>
        <v>0.27500000000000002</v>
      </c>
      <c r="H20" s="3">
        <v>1.1000000000000001</v>
      </c>
      <c r="I20" s="3">
        <v>23.3</v>
      </c>
      <c r="J20" s="3">
        <v>8</v>
      </c>
    </row>
    <row r="21" spans="1:10">
      <c r="A21" s="3">
        <v>2</v>
      </c>
      <c r="B21" s="3">
        <v>21</v>
      </c>
      <c r="C21" s="3">
        <v>34</v>
      </c>
      <c r="D21" s="3">
        <f t="shared" si="0"/>
        <v>86.36</v>
      </c>
      <c r="E21" s="3">
        <v>0.25</v>
      </c>
      <c r="F21" s="3">
        <v>0.25</v>
      </c>
      <c r="G21" s="3">
        <f t="shared" si="1"/>
        <v>0.25</v>
      </c>
      <c r="H21" s="3">
        <v>1.25</v>
      </c>
      <c r="I21" s="3">
        <v>25.5</v>
      </c>
      <c r="J21" s="3">
        <v>8</v>
      </c>
    </row>
    <row r="22" spans="1:10">
      <c r="A22" s="3">
        <v>2</v>
      </c>
      <c r="B22" s="3">
        <v>21</v>
      </c>
      <c r="C22" s="3">
        <v>14</v>
      </c>
      <c r="D22" s="3">
        <f t="shared" si="0"/>
        <v>35.56</v>
      </c>
      <c r="E22" s="3">
        <v>0.15</v>
      </c>
      <c r="F22" s="3">
        <v>0.15</v>
      </c>
      <c r="G22" s="3">
        <f t="shared" si="1"/>
        <v>0.15</v>
      </c>
      <c r="H22" s="3">
        <v>0.75</v>
      </c>
      <c r="I22" s="3">
        <v>15.3</v>
      </c>
      <c r="J22" s="3">
        <v>5</v>
      </c>
    </row>
    <row r="23" spans="1:10">
      <c r="A23" s="3">
        <v>2</v>
      </c>
      <c r="B23" s="3">
        <v>21</v>
      </c>
      <c r="C23" s="3">
        <v>32</v>
      </c>
      <c r="D23" s="3">
        <f t="shared" si="0"/>
        <v>81.28</v>
      </c>
      <c r="E23" s="3">
        <v>0.25</v>
      </c>
      <c r="F23" s="3">
        <v>0.2</v>
      </c>
      <c r="G23" s="3">
        <f t="shared" si="1"/>
        <v>0.22500000000000001</v>
      </c>
      <c r="H23" s="3">
        <v>1.3</v>
      </c>
      <c r="I23" s="3">
        <v>26.8</v>
      </c>
      <c r="J23" s="3">
        <v>7</v>
      </c>
    </row>
    <row r="24" spans="1:10">
      <c r="A24" s="3">
        <v>2</v>
      </c>
      <c r="B24" s="3">
        <v>21</v>
      </c>
      <c r="C24" s="3">
        <v>34</v>
      </c>
      <c r="D24" s="3">
        <f t="shared" si="0"/>
        <v>86.36</v>
      </c>
      <c r="E24" s="3">
        <v>0.35</v>
      </c>
      <c r="F24" s="3">
        <v>0.3</v>
      </c>
      <c r="G24" s="3">
        <f t="shared" si="1"/>
        <v>0.32499999999999996</v>
      </c>
      <c r="H24" s="3">
        <v>1.3</v>
      </c>
      <c r="I24" s="3">
        <v>25.1</v>
      </c>
      <c r="J24" s="3">
        <v>7</v>
      </c>
    </row>
    <row r="25" spans="1:10">
      <c r="A25" s="3">
        <v>2</v>
      </c>
      <c r="B25" s="3">
        <v>21</v>
      </c>
      <c r="C25" s="3">
        <v>18</v>
      </c>
      <c r="D25" s="3">
        <f t="shared" si="0"/>
        <v>45.72</v>
      </c>
      <c r="E25" s="3">
        <v>0.2</v>
      </c>
      <c r="F25" s="3">
        <v>0.15</v>
      </c>
      <c r="G25" s="3">
        <f t="shared" si="1"/>
        <v>0.17499999999999999</v>
      </c>
      <c r="H25" s="3">
        <v>0.8</v>
      </c>
      <c r="I25" s="3">
        <v>19.100000000000001</v>
      </c>
      <c r="J25" s="3">
        <v>6</v>
      </c>
    </row>
    <row r="26" spans="1:10">
      <c r="A26" s="3">
        <v>2</v>
      </c>
      <c r="B26" s="3">
        <v>21</v>
      </c>
      <c r="C26" s="3">
        <v>50</v>
      </c>
      <c r="D26" s="3">
        <f t="shared" si="0"/>
        <v>127</v>
      </c>
      <c r="E26" s="3">
        <v>0.3</v>
      </c>
      <c r="F26" s="3">
        <v>0.3</v>
      </c>
      <c r="G26" s="3">
        <f t="shared" si="1"/>
        <v>0.3</v>
      </c>
      <c r="H26" s="3">
        <v>1.4</v>
      </c>
      <c r="I26" s="3">
        <v>26.6</v>
      </c>
      <c r="J26" s="3">
        <v>8</v>
      </c>
    </row>
    <row r="27" spans="1:10">
      <c r="A27" s="3">
        <v>3</v>
      </c>
      <c r="B27" s="3">
        <v>70</v>
      </c>
      <c r="C27" s="3">
        <v>64</v>
      </c>
      <c r="D27" s="3">
        <f t="shared" si="0"/>
        <v>162.56</v>
      </c>
      <c r="E27" s="3">
        <v>0.4</v>
      </c>
      <c r="F27" s="3">
        <v>0.25</v>
      </c>
      <c r="G27" s="3">
        <f t="shared" si="1"/>
        <v>0.32500000000000001</v>
      </c>
      <c r="H27" s="3">
        <v>1.35</v>
      </c>
      <c r="I27" s="3">
        <v>25.2</v>
      </c>
      <c r="J27" s="3">
        <v>7</v>
      </c>
    </row>
    <row r="28" spans="1:10">
      <c r="A28" s="3">
        <v>3</v>
      </c>
      <c r="B28" s="3">
        <v>70</v>
      </c>
      <c r="C28" s="3">
        <v>52</v>
      </c>
      <c r="D28" s="3">
        <f t="shared" si="0"/>
        <v>132.07999999999998</v>
      </c>
      <c r="E28" s="3">
        <v>0.3</v>
      </c>
      <c r="F28" s="3">
        <v>0.3</v>
      </c>
      <c r="G28" s="3">
        <f t="shared" si="1"/>
        <v>0.3</v>
      </c>
      <c r="H28" s="3">
        <v>1.5</v>
      </c>
      <c r="I28" s="3">
        <v>28</v>
      </c>
      <c r="J28" s="3">
        <v>9</v>
      </c>
    </row>
    <row r="29" spans="1:10">
      <c r="A29" s="3">
        <v>3</v>
      </c>
      <c r="B29" s="3">
        <v>70</v>
      </c>
      <c r="C29" s="3">
        <v>40</v>
      </c>
      <c r="D29" s="3">
        <f t="shared" si="0"/>
        <v>101.6</v>
      </c>
      <c r="E29" s="3">
        <v>0.2</v>
      </c>
      <c r="F29" s="3">
        <v>0.2</v>
      </c>
      <c r="G29" s="3">
        <f t="shared" si="1"/>
        <v>0.2</v>
      </c>
      <c r="H29" s="3">
        <v>1.2</v>
      </c>
      <c r="I29" s="3">
        <v>24.9</v>
      </c>
      <c r="J29" s="3">
        <v>8</v>
      </c>
    </row>
    <row r="30" spans="1:10">
      <c r="A30" s="3">
        <v>3</v>
      </c>
      <c r="B30" s="3">
        <v>70</v>
      </c>
      <c r="C30" s="3">
        <v>47</v>
      </c>
      <c r="D30" s="3">
        <f t="shared" si="0"/>
        <v>119.38</v>
      </c>
      <c r="E30" s="3">
        <v>0.3</v>
      </c>
      <c r="F30" s="3">
        <v>0.3</v>
      </c>
      <c r="G30" s="3">
        <f t="shared" si="1"/>
        <v>0.3</v>
      </c>
      <c r="H30" s="3">
        <v>1.4</v>
      </c>
      <c r="I30" s="3">
        <v>29.4</v>
      </c>
      <c r="J30" s="3">
        <v>8</v>
      </c>
    </row>
    <row r="31" spans="1:10">
      <c r="A31" s="3">
        <v>3</v>
      </c>
      <c r="B31" s="3">
        <v>70</v>
      </c>
      <c r="C31" s="3">
        <v>36</v>
      </c>
      <c r="D31" s="3">
        <f t="shared" si="0"/>
        <v>91.44</v>
      </c>
      <c r="E31" s="3">
        <v>0.2</v>
      </c>
      <c r="F31" s="3">
        <v>0.15</v>
      </c>
      <c r="G31" s="3">
        <f t="shared" si="1"/>
        <v>0.17499999999999999</v>
      </c>
      <c r="H31" s="3">
        <v>0.95</v>
      </c>
      <c r="I31" s="3">
        <v>24</v>
      </c>
      <c r="J31" s="3">
        <v>6</v>
      </c>
    </row>
    <row r="32" spans="1:10">
      <c r="A32" s="3">
        <v>3</v>
      </c>
      <c r="B32" s="3">
        <v>70</v>
      </c>
      <c r="C32" s="3">
        <v>35</v>
      </c>
      <c r="D32" s="3">
        <f t="shared" si="0"/>
        <v>88.9</v>
      </c>
      <c r="E32" s="3">
        <v>0.35</v>
      </c>
      <c r="F32" s="3">
        <v>0.25</v>
      </c>
      <c r="G32" s="3">
        <f t="shared" si="1"/>
        <v>0.3</v>
      </c>
      <c r="H32" s="3">
        <v>1.05</v>
      </c>
      <c r="I32" s="3">
        <v>24</v>
      </c>
      <c r="J32" s="3">
        <v>8</v>
      </c>
    </row>
    <row r="33" spans="1:10">
      <c r="A33" s="3">
        <v>3</v>
      </c>
      <c r="B33" s="3">
        <v>70</v>
      </c>
      <c r="C33" s="3">
        <v>44</v>
      </c>
      <c r="D33" s="3">
        <f t="shared" si="0"/>
        <v>111.75999999999999</v>
      </c>
      <c r="E33" s="3">
        <v>0.35</v>
      </c>
      <c r="F33" s="3">
        <v>0.3</v>
      </c>
      <c r="G33" s="3">
        <f t="shared" si="1"/>
        <v>0.32499999999999996</v>
      </c>
      <c r="H33" s="3">
        <v>1.3</v>
      </c>
      <c r="I33" s="3">
        <v>25.7</v>
      </c>
      <c r="J33" s="3">
        <v>8</v>
      </c>
    </row>
    <row r="34" spans="1:10">
      <c r="A34" s="3">
        <v>3</v>
      </c>
      <c r="B34" s="3">
        <v>70</v>
      </c>
      <c r="C34" s="3">
        <v>19</v>
      </c>
      <c r="D34" s="3">
        <f t="shared" si="0"/>
        <v>48.26</v>
      </c>
      <c r="E34" s="3">
        <v>0.1</v>
      </c>
      <c r="F34" s="3">
        <v>0.1</v>
      </c>
      <c r="G34" s="3">
        <f t="shared" si="1"/>
        <v>0.1</v>
      </c>
      <c r="H34" s="3">
        <v>0.55000000000000004</v>
      </c>
      <c r="I34" s="3">
        <v>11.5</v>
      </c>
      <c r="J34" s="3">
        <v>7</v>
      </c>
    </row>
    <row r="35" spans="1:10">
      <c r="A35" s="3">
        <v>3</v>
      </c>
      <c r="B35" s="3">
        <v>70</v>
      </c>
      <c r="C35" s="3">
        <v>61</v>
      </c>
      <c r="D35" s="3">
        <f t="shared" si="0"/>
        <v>154.94</v>
      </c>
      <c r="E35" s="3">
        <v>0.3</v>
      </c>
      <c r="F35" s="3">
        <v>0.15</v>
      </c>
      <c r="G35" s="3">
        <f t="shared" si="1"/>
        <v>0.22499999999999998</v>
      </c>
      <c r="H35" s="3">
        <v>1.35</v>
      </c>
      <c r="I35" s="3">
        <v>22</v>
      </c>
      <c r="J35" s="3">
        <v>7</v>
      </c>
    </row>
    <row r="36" spans="1:10">
      <c r="A36" s="3">
        <v>3</v>
      </c>
      <c r="B36" s="3">
        <v>70</v>
      </c>
      <c r="C36" s="3">
        <v>36</v>
      </c>
      <c r="D36" s="3">
        <f t="shared" si="0"/>
        <v>91.44</v>
      </c>
      <c r="E36" s="3">
        <v>0.2</v>
      </c>
      <c r="F36" s="3">
        <v>0.15</v>
      </c>
      <c r="G36" s="3">
        <f t="shared" si="1"/>
        <v>0.17499999999999999</v>
      </c>
      <c r="H36" s="3">
        <v>0.9</v>
      </c>
      <c r="I36" s="3">
        <v>23.4</v>
      </c>
      <c r="J36" s="3">
        <v>7</v>
      </c>
    </row>
    <row r="37" spans="1:10">
      <c r="A37" s="3">
        <v>4</v>
      </c>
      <c r="B37" s="3">
        <v>93</v>
      </c>
      <c r="C37" s="3">
        <v>33</v>
      </c>
      <c r="D37" s="3">
        <f t="shared" si="0"/>
        <v>83.82</v>
      </c>
      <c r="E37" s="3">
        <v>0.35</v>
      </c>
      <c r="F37" s="3">
        <v>0.3</v>
      </c>
      <c r="G37" s="3">
        <f t="shared" si="1"/>
        <v>0.32499999999999996</v>
      </c>
      <c r="H37" s="3">
        <v>1.2</v>
      </c>
      <c r="I37" s="3">
        <v>25.9</v>
      </c>
      <c r="J37" s="3">
        <v>6</v>
      </c>
    </row>
    <row r="38" spans="1:10">
      <c r="A38" s="3">
        <v>4</v>
      </c>
      <c r="B38" s="3">
        <v>93</v>
      </c>
      <c r="C38" s="3">
        <v>68</v>
      </c>
      <c r="D38" s="3">
        <f t="shared" si="0"/>
        <v>172.72</v>
      </c>
      <c r="E38" s="3">
        <v>0.5</v>
      </c>
      <c r="F38" s="3">
        <v>0.2</v>
      </c>
      <c r="G38" s="3">
        <f t="shared" si="1"/>
        <v>0.35</v>
      </c>
      <c r="H38" s="3">
        <v>1.8</v>
      </c>
      <c r="I38" s="3">
        <v>31.1</v>
      </c>
      <c r="J38" s="3">
        <v>6</v>
      </c>
    </row>
    <row r="39" spans="1:10">
      <c r="A39" s="3">
        <v>4</v>
      </c>
      <c r="B39" s="3">
        <v>93</v>
      </c>
      <c r="C39" s="3">
        <v>73</v>
      </c>
      <c r="D39" s="3">
        <f t="shared" si="0"/>
        <v>185.42000000000002</v>
      </c>
      <c r="E39" s="3">
        <v>0.4</v>
      </c>
      <c r="F39" s="3">
        <v>0.25</v>
      </c>
      <c r="G39" s="3">
        <f t="shared" si="1"/>
        <v>0.32500000000000001</v>
      </c>
      <c r="H39" s="3">
        <v>1.7</v>
      </c>
      <c r="I39" s="3">
        <v>26</v>
      </c>
      <c r="J39" s="3">
        <v>7</v>
      </c>
    </row>
    <row r="40" spans="1:10">
      <c r="A40" s="3">
        <v>4</v>
      </c>
      <c r="B40" s="3">
        <v>93</v>
      </c>
      <c r="C40" s="3">
        <v>42</v>
      </c>
      <c r="D40" s="3">
        <f t="shared" si="0"/>
        <v>106.67999999999999</v>
      </c>
      <c r="E40" s="3">
        <v>0.2</v>
      </c>
      <c r="F40" s="3">
        <v>0.25</v>
      </c>
      <c r="G40" s="3">
        <f t="shared" si="1"/>
        <v>0.22500000000000001</v>
      </c>
      <c r="H40" s="3">
        <v>1.1000000000000001</v>
      </c>
      <c r="I40" s="3">
        <v>22</v>
      </c>
      <c r="J40" s="3">
        <v>6</v>
      </c>
    </row>
    <row r="41" spans="1:10">
      <c r="A41" s="3">
        <v>4</v>
      </c>
      <c r="B41" s="3">
        <v>93</v>
      </c>
      <c r="C41" s="3">
        <v>52</v>
      </c>
      <c r="D41" s="3">
        <f t="shared" si="0"/>
        <v>132.07999999999998</v>
      </c>
      <c r="E41" s="3">
        <v>0.25</v>
      </c>
      <c r="F41" s="3">
        <v>0.25</v>
      </c>
      <c r="G41" s="3">
        <f t="shared" si="1"/>
        <v>0.25</v>
      </c>
      <c r="H41" s="3">
        <v>1.2</v>
      </c>
      <c r="I41" s="3">
        <v>24.9</v>
      </c>
      <c r="J41" s="3">
        <v>7</v>
      </c>
    </row>
    <row r="42" spans="1:10">
      <c r="A42" s="3">
        <v>4</v>
      </c>
      <c r="B42" s="3">
        <v>93</v>
      </c>
      <c r="C42" s="3">
        <v>34</v>
      </c>
      <c r="D42" s="3">
        <f t="shared" si="0"/>
        <v>86.36</v>
      </c>
      <c r="E42" s="3">
        <v>0.2</v>
      </c>
      <c r="F42" s="3">
        <v>0.2</v>
      </c>
      <c r="G42" s="3">
        <f t="shared" si="1"/>
        <v>0.2</v>
      </c>
      <c r="H42" s="3">
        <v>1.1000000000000001</v>
      </c>
      <c r="I42" s="3">
        <v>21.4</v>
      </c>
      <c r="J42" s="3">
        <v>5</v>
      </c>
    </row>
    <row r="43" spans="1:10">
      <c r="A43" s="3">
        <v>4</v>
      </c>
      <c r="B43" s="3">
        <v>93</v>
      </c>
      <c r="C43" s="3">
        <v>61</v>
      </c>
      <c r="D43" s="3">
        <f t="shared" si="0"/>
        <v>154.94</v>
      </c>
      <c r="E43" s="3">
        <v>0.45</v>
      </c>
      <c r="F43" s="3">
        <v>0.35</v>
      </c>
      <c r="G43" s="3">
        <f t="shared" si="1"/>
        <v>0.4</v>
      </c>
      <c r="H43" s="3">
        <v>1.6</v>
      </c>
      <c r="I43" s="3">
        <v>25.2</v>
      </c>
      <c r="J43" s="3">
        <v>9</v>
      </c>
    </row>
    <row r="44" spans="1:10">
      <c r="A44" s="3">
        <v>4</v>
      </c>
      <c r="B44" s="3">
        <v>93</v>
      </c>
      <c r="C44" s="3">
        <v>49</v>
      </c>
      <c r="D44" s="3">
        <f t="shared" si="0"/>
        <v>124.46</v>
      </c>
      <c r="E44" s="3">
        <v>0.25</v>
      </c>
      <c r="F44" s="3">
        <v>0.25</v>
      </c>
      <c r="G44" s="3">
        <f t="shared" si="1"/>
        <v>0.25</v>
      </c>
      <c r="H44" s="3">
        <v>1.3</v>
      </c>
      <c r="I44" s="3">
        <v>24.7</v>
      </c>
      <c r="J44" s="3">
        <v>7</v>
      </c>
    </row>
    <row r="45" spans="1:10">
      <c r="A45" s="3">
        <v>4</v>
      </c>
      <c r="B45" s="3">
        <v>93</v>
      </c>
      <c r="C45" s="3">
        <v>82</v>
      </c>
      <c r="D45" s="3">
        <f t="shared" si="0"/>
        <v>208.28000000000003</v>
      </c>
      <c r="E45" s="3">
        <v>0.45</v>
      </c>
      <c r="F45" s="3">
        <v>0.25</v>
      </c>
      <c r="G45" s="3">
        <f t="shared" si="1"/>
        <v>0.35</v>
      </c>
      <c r="H45" s="3">
        <v>1.65</v>
      </c>
      <c r="I45" s="3">
        <v>30.7</v>
      </c>
      <c r="J45" s="3">
        <v>6</v>
      </c>
    </row>
    <row r="46" spans="1:10">
      <c r="A46" s="3">
        <v>4</v>
      </c>
      <c r="B46" s="3">
        <v>93</v>
      </c>
      <c r="C46" s="3">
        <v>36</v>
      </c>
      <c r="D46" s="3">
        <f t="shared" si="0"/>
        <v>91.44</v>
      </c>
      <c r="E46" s="3">
        <v>0.25</v>
      </c>
      <c r="F46" s="3">
        <v>0.2</v>
      </c>
      <c r="G46" s="3">
        <f t="shared" si="1"/>
        <v>0.22500000000000001</v>
      </c>
      <c r="H46" s="3">
        <v>1.3</v>
      </c>
      <c r="I46" s="3">
        <v>23.9</v>
      </c>
      <c r="J46" s="3">
        <v>7</v>
      </c>
    </row>
    <row r="47" spans="1:10">
      <c r="A47" s="3">
        <v>5</v>
      </c>
      <c r="B47" s="3">
        <v>98</v>
      </c>
      <c r="C47" s="3">
        <v>8</v>
      </c>
      <c r="D47" s="3">
        <f t="shared" si="0"/>
        <v>20.32</v>
      </c>
      <c r="E47" s="3">
        <v>0.15</v>
      </c>
      <c r="F47" s="3">
        <v>0.15</v>
      </c>
      <c r="G47" s="3">
        <f t="shared" si="1"/>
        <v>0.15</v>
      </c>
      <c r="H47" s="3">
        <v>0.65</v>
      </c>
      <c r="I47" s="3">
        <v>11.6</v>
      </c>
      <c r="J47" s="3">
        <v>2</v>
      </c>
    </row>
    <row r="48" spans="1:10">
      <c r="A48" s="3">
        <v>5</v>
      </c>
      <c r="B48" s="3">
        <v>98</v>
      </c>
      <c r="C48" s="3">
        <v>18</v>
      </c>
      <c r="D48" s="3">
        <f t="shared" si="0"/>
        <v>45.72</v>
      </c>
      <c r="E48" s="3">
        <v>0.15</v>
      </c>
      <c r="F48" s="3">
        <v>0.15</v>
      </c>
      <c r="G48" s="3">
        <f t="shared" si="1"/>
        <v>0.15</v>
      </c>
      <c r="H48" s="3">
        <v>0.8</v>
      </c>
      <c r="I48" s="3">
        <v>15.4</v>
      </c>
      <c r="J48" s="3">
        <v>5</v>
      </c>
    </row>
    <row r="49" spans="1:10">
      <c r="A49" s="3">
        <v>5</v>
      </c>
      <c r="B49" s="3">
        <v>98</v>
      </c>
      <c r="C49" s="3">
        <v>65</v>
      </c>
      <c r="D49" s="3">
        <f t="shared" si="0"/>
        <v>165.1</v>
      </c>
      <c r="E49" s="3">
        <v>0.35</v>
      </c>
      <c r="F49" s="3">
        <v>0.25</v>
      </c>
      <c r="G49" s="3">
        <f t="shared" si="1"/>
        <v>0.3</v>
      </c>
      <c r="H49" s="3">
        <v>1.4</v>
      </c>
      <c r="I49" s="3">
        <v>22.1</v>
      </c>
      <c r="J49" s="3">
        <v>6</v>
      </c>
    </row>
    <row r="50" spans="1:10">
      <c r="A50" s="3">
        <v>5</v>
      </c>
      <c r="B50" s="3">
        <v>98</v>
      </c>
      <c r="C50" s="3">
        <v>69</v>
      </c>
      <c r="D50" s="3">
        <f t="shared" si="0"/>
        <v>175.26</v>
      </c>
      <c r="E50" s="3">
        <v>0.4</v>
      </c>
      <c r="F50" s="3">
        <v>0.2</v>
      </c>
      <c r="G50" s="3">
        <f t="shared" si="1"/>
        <v>0.30000000000000004</v>
      </c>
      <c r="H50" s="3">
        <v>1.3</v>
      </c>
      <c r="I50" s="3">
        <v>24.5</v>
      </c>
      <c r="J50" s="3">
        <v>7</v>
      </c>
    </row>
    <row r="51" spans="1:10">
      <c r="A51" s="3">
        <v>5</v>
      </c>
      <c r="B51" s="3">
        <v>98</v>
      </c>
      <c r="C51" s="3">
        <v>26</v>
      </c>
      <c r="D51" s="3">
        <f t="shared" si="0"/>
        <v>66.039999999999992</v>
      </c>
      <c r="E51" s="3">
        <v>0.2</v>
      </c>
      <c r="F51" s="3">
        <v>0.2</v>
      </c>
      <c r="G51" s="3">
        <f t="shared" si="1"/>
        <v>0.2</v>
      </c>
      <c r="H51" s="3">
        <v>1.55</v>
      </c>
      <c r="I51" s="3">
        <v>20.7</v>
      </c>
      <c r="J51" s="3">
        <v>4</v>
      </c>
    </row>
    <row r="52" spans="1:10">
      <c r="A52" s="3">
        <v>5</v>
      </c>
      <c r="B52" s="3">
        <v>98</v>
      </c>
      <c r="C52" s="3">
        <v>65</v>
      </c>
      <c r="D52" s="3">
        <f t="shared" si="0"/>
        <v>165.1</v>
      </c>
      <c r="E52" s="3">
        <v>0.5</v>
      </c>
      <c r="F52" s="3">
        <v>0.25</v>
      </c>
      <c r="G52" s="3">
        <f t="shared" si="1"/>
        <v>0.375</v>
      </c>
      <c r="H52" s="3">
        <v>1.35</v>
      </c>
      <c r="I52" s="3">
        <v>23.1</v>
      </c>
      <c r="J52" s="3">
        <v>5</v>
      </c>
    </row>
    <row r="53" spans="1:10">
      <c r="A53" s="3">
        <v>5</v>
      </c>
      <c r="B53" s="3">
        <v>98</v>
      </c>
      <c r="C53" s="3">
        <v>28</v>
      </c>
      <c r="D53" s="3">
        <f t="shared" si="0"/>
        <v>71.12</v>
      </c>
      <c r="E53" s="3">
        <v>0.2</v>
      </c>
      <c r="F53" s="3">
        <v>0.15</v>
      </c>
      <c r="G53" s="3">
        <f t="shared" si="1"/>
        <v>0.17499999999999999</v>
      </c>
      <c r="H53" s="3">
        <v>0.95</v>
      </c>
      <c r="I53" s="3">
        <v>20.399999999999999</v>
      </c>
      <c r="J53" s="3">
        <v>5</v>
      </c>
    </row>
    <row r="54" spans="1:10">
      <c r="A54" s="3">
        <v>5</v>
      </c>
      <c r="B54" s="3">
        <v>98</v>
      </c>
      <c r="C54" s="3">
        <v>30</v>
      </c>
      <c r="D54" s="3">
        <f t="shared" si="0"/>
        <v>76.2</v>
      </c>
      <c r="E54" s="3">
        <v>0.3</v>
      </c>
      <c r="F54" s="3">
        <v>0.25</v>
      </c>
      <c r="G54" s="3">
        <f t="shared" si="1"/>
        <v>0.27500000000000002</v>
      </c>
      <c r="H54" s="3">
        <v>1.1499999999999999</v>
      </c>
      <c r="I54" s="3">
        <v>21.5</v>
      </c>
      <c r="J54" s="3">
        <v>6</v>
      </c>
    </row>
    <row r="55" spans="1:10">
      <c r="A55" s="3">
        <v>5</v>
      </c>
      <c r="B55" s="3">
        <v>98</v>
      </c>
      <c r="C55" s="3">
        <v>38</v>
      </c>
      <c r="D55" s="3">
        <f t="shared" si="0"/>
        <v>96.52</v>
      </c>
      <c r="E55" s="3">
        <v>0.25</v>
      </c>
      <c r="F55" s="3">
        <v>0.25</v>
      </c>
      <c r="G55" s="3">
        <f t="shared" si="1"/>
        <v>0.25</v>
      </c>
      <c r="H55" s="3">
        <v>1.25</v>
      </c>
      <c r="I55" s="3">
        <v>19.3</v>
      </c>
      <c r="J55" s="3">
        <v>7</v>
      </c>
    </row>
    <row r="56" spans="1:10">
      <c r="A56" s="3">
        <v>5</v>
      </c>
      <c r="B56" s="3">
        <v>98</v>
      </c>
      <c r="C56" s="3">
        <v>21</v>
      </c>
      <c r="D56" s="3">
        <f t="shared" si="0"/>
        <v>53.339999999999996</v>
      </c>
      <c r="E56" s="3">
        <v>0.25</v>
      </c>
      <c r="F56" s="3">
        <v>0.2</v>
      </c>
      <c r="G56" s="3">
        <f t="shared" si="1"/>
        <v>0.22500000000000001</v>
      </c>
      <c r="H56" s="3">
        <v>0.95</v>
      </c>
      <c r="I56" s="3">
        <v>19.8</v>
      </c>
      <c r="J56" s="3">
        <v>7</v>
      </c>
    </row>
    <row r="57" spans="1:10">
      <c r="A57" s="3">
        <v>6</v>
      </c>
      <c r="B57" s="3">
        <v>124</v>
      </c>
      <c r="C57" s="3">
        <v>33</v>
      </c>
      <c r="D57" s="3">
        <f t="shared" si="0"/>
        <v>83.82</v>
      </c>
      <c r="E57" s="3">
        <v>0.2</v>
      </c>
      <c r="F57" s="3">
        <v>0.2</v>
      </c>
      <c r="G57" s="3">
        <f t="shared" si="1"/>
        <v>0.2</v>
      </c>
      <c r="H57" s="3">
        <v>1.3</v>
      </c>
      <c r="I57" s="3">
        <v>22.8</v>
      </c>
      <c r="J57" s="3">
        <v>6</v>
      </c>
    </row>
    <row r="58" spans="1:10">
      <c r="A58" s="3">
        <v>6</v>
      </c>
      <c r="B58" s="3">
        <v>124</v>
      </c>
      <c r="C58" s="3">
        <v>22</v>
      </c>
      <c r="D58" s="3">
        <f t="shared" si="0"/>
        <v>55.879999999999995</v>
      </c>
      <c r="E58" s="3">
        <v>0.25</v>
      </c>
      <c r="F58" s="3">
        <v>0.2</v>
      </c>
      <c r="G58" s="3">
        <f t="shared" si="1"/>
        <v>0.22500000000000001</v>
      </c>
      <c r="H58" s="3">
        <v>1.1499999999999999</v>
      </c>
      <c r="I58" s="3">
        <v>21.7</v>
      </c>
      <c r="J58" s="3">
        <v>4</v>
      </c>
    </row>
    <row r="59" spans="1:10">
      <c r="A59" s="3">
        <v>6</v>
      </c>
      <c r="B59" s="3">
        <v>124</v>
      </c>
      <c r="C59" s="3">
        <v>16</v>
      </c>
      <c r="D59" s="3">
        <f t="shared" si="0"/>
        <v>40.64</v>
      </c>
      <c r="E59" s="3">
        <v>0.2</v>
      </c>
      <c r="F59" s="3">
        <v>0.2</v>
      </c>
      <c r="G59" s="3">
        <f t="shared" si="1"/>
        <v>0.2</v>
      </c>
      <c r="H59" s="3">
        <v>0.95</v>
      </c>
      <c r="I59" s="3">
        <v>22.1</v>
      </c>
      <c r="J59" s="3">
        <v>4</v>
      </c>
    </row>
    <row r="60" spans="1:10">
      <c r="A60" s="3">
        <v>6</v>
      </c>
      <c r="B60" s="3">
        <v>124</v>
      </c>
      <c r="C60" s="3">
        <v>26</v>
      </c>
      <c r="D60" s="3">
        <f t="shared" si="0"/>
        <v>66.039999999999992</v>
      </c>
      <c r="E60" s="3">
        <v>0.25</v>
      </c>
      <c r="F60" s="3">
        <v>0.2</v>
      </c>
      <c r="G60" s="3">
        <f t="shared" si="1"/>
        <v>0.22500000000000001</v>
      </c>
      <c r="H60" s="3">
        <v>0.95</v>
      </c>
      <c r="I60" s="3">
        <v>25.9</v>
      </c>
      <c r="J60" s="3">
        <v>5</v>
      </c>
    </row>
    <row r="61" spans="1:10">
      <c r="A61" s="3">
        <v>6</v>
      </c>
      <c r="B61" s="3">
        <v>124</v>
      </c>
      <c r="C61" s="3">
        <v>42</v>
      </c>
      <c r="D61" s="3">
        <f t="shared" si="0"/>
        <v>106.67999999999999</v>
      </c>
      <c r="E61" s="3">
        <v>0.3</v>
      </c>
      <c r="F61" s="3">
        <v>0.25</v>
      </c>
      <c r="G61" s="3">
        <f t="shared" si="1"/>
        <v>0.27500000000000002</v>
      </c>
      <c r="H61" s="3">
        <v>1.35</v>
      </c>
      <c r="I61" s="3">
        <v>23.1</v>
      </c>
      <c r="J61" s="3">
        <v>7</v>
      </c>
    </row>
    <row r="62" spans="1:10">
      <c r="A62" s="3">
        <v>6</v>
      </c>
      <c r="B62" s="3">
        <v>124</v>
      </c>
      <c r="C62" s="3">
        <v>36</v>
      </c>
      <c r="D62" s="3">
        <f t="shared" si="0"/>
        <v>91.44</v>
      </c>
      <c r="E62" s="3">
        <v>0.3</v>
      </c>
      <c r="F62" s="3">
        <v>0.25</v>
      </c>
      <c r="G62" s="3">
        <f t="shared" si="1"/>
        <v>0.27500000000000002</v>
      </c>
      <c r="H62" s="3">
        <v>0.95</v>
      </c>
      <c r="I62" s="3">
        <v>22</v>
      </c>
      <c r="J62" s="3">
        <v>7</v>
      </c>
    </row>
    <row r="63" spans="1:10">
      <c r="A63" s="3">
        <v>6</v>
      </c>
      <c r="B63" s="3">
        <v>124</v>
      </c>
      <c r="C63" s="3">
        <v>82</v>
      </c>
      <c r="D63" s="3">
        <f t="shared" si="0"/>
        <v>208.28000000000003</v>
      </c>
      <c r="E63" s="3">
        <v>0.55000000000000004</v>
      </c>
      <c r="F63" s="3">
        <v>0.35</v>
      </c>
      <c r="G63" s="3">
        <f t="shared" si="1"/>
        <v>0.45</v>
      </c>
      <c r="H63" s="3">
        <v>1.8</v>
      </c>
      <c r="I63" s="3">
        <v>27.8</v>
      </c>
      <c r="J63" s="3">
        <v>5</v>
      </c>
    </row>
    <row r="64" spans="1:10">
      <c r="A64" s="3">
        <v>6</v>
      </c>
      <c r="B64" s="3">
        <v>124</v>
      </c>
      <c r="C64" s="3">
        <v>34</v>
      </c>
      <c r="D64" s="3">
        <f t="shared" si="0"/>
        <v>86.36</v>
      </c>
      <c r="E64" s="3">
        <v>0.3</v>
      </c>
      <c r="F64" s="3">
        <v>0.25</v>
      </c>
      <c r="G64" s="3">
        <f t="shared" si="1"/>
        <v>0.27500000000000002</v>
      </c>
      <c r="H64" s="3">
        <v>1.4</v>
      </c>
      <c r="I64" s="3">
        <v>24.9</v>
      </c>
      <c r="J64" s="3">
        <v>6</v>
      </c>
    </row>
    <row r="65" spans="1:10">
      <c r="A65" s="3">
        <v>6</v>
      </c>
      <c r="B65" s="3">
        <v>124</v>
      </c>
      <c r="C65" s="3">
        <v>44</v>
      </c>
      <c r="D65" s="3">
        <f t="shared" si="0"/>
        <v>111.75999999999999</v>
      </c>
      <c r="E65" s="3">
        <v>0.35</v>
      </c>
      <c r="F65" s="3">
        <v>0.2</v>
      </c>
      <c r="G65" s="3">
        <f t="shared" si="1"/>
        <v>0.27500000000000002</v>
      </c>
      <c r="H65" s="3">
        <v>1.6</v>
      </c>
      <c r="I65" s="3">
        <v>25.3</v>
      </c>
      <c r="J65" s="3">
        <v>6</v>
      </c>
    </row>
    <row r="66" spans="1:10">
      <c r="A66" s="3">
        <v>6</v>
      </c>
      <c r="B66" s="3">
        <v>124</v>
      </c>
      <c r="C66" s="3">
        <v>68</v>
      </c>
      <c r="D66" s="3">
        <f t="shared" si="0"/>
        <v>172.72</v>
      </c>
      <c r="E66" s="3">
        <v>0.4</v>
      </c>
      <c r="F66" s="3">
        <v>0.25</v>
      </c>
      <c r="G66" s="3">
        <f t="shared" si="1"/>
        <v>0.32500000000000001</v>
      </c>
      <c r="H66" s="3">
        <v>1.7</v>
      </c>
      <c r="I66" s="3">
        <v>34.5</v>
      </c>
      <c r="J66" s="3">
        <v>6</v>
      </c>
    </row>
    <row r="67" spans="1:10">
      <c r="A67" s="3">
        <v>7</v>
      </c>
      <c r="B67" s="3">
        <v>68</v>
      </c>
      <c r="C67" s="3">
        <v>58</v>
      </c>
      <c r="D67" s="3">
        <f t="shared" si="0"/>
        <v>147.32</v>
      </c>
      <c r="E67" s="3">
        <v>0.45</v>
      </c>
      <c r="F67" s="3">
        <v>0.3</v>
      </c>
      <c r="G67" s="3">
        <f t="shared" si="1"/>
        <v>0.375</v>
      </c>
      <c r="H67" s="3">
        <v>1.6</v>
      </c>
      <c r="I67" s="3">
        <v>22.5</v>
      </c>
      <c r="J67" s="3">
        <v>6</v>
      </c>
    </row>
    <row r="68" spans="1:10">
      <c r="A68" s="3">
        <v>7</v>
      </c>
      <c r="B68" s="3">
        <v>68</v>
      </c>
      <c r="C68" s="3">
        <v>54</v>
      </c>
      <c r="D68" s="3">
        <f t="shared" si="0"/>
        <v>137.16</v>
      </c>
      <c r="E68" s="3">
        <v>0.3</v>
      </c>
      <c r="F68" s="3">
        <v>0.25</v>
      </c>
      <c r="G68" s="3">
        <f t="shared" si="1"/>
        <v>0.27500000000000002</v>
      </c>
      <c r="H68" s="3">
        <v>1.65</v>
      </c>
      <c r="I68" s="3">
        <v>23.8</v>
      </c>
      <c r="J68" s="3">
        <v>7</v>
      </c>
    </row>
    <row r="69" spans="1:10">
      <c r="A69" s="3">
        <v>7</v>
      </c>
      <c r="B69" s="3">
        <v>68</v>
      </c>
      <c r="C69" s="3">
        <v>37</v>
      </c>
      <c r="D69" s="3">
        <f t="shared" si="0"/>
        <v>93.97999999999999</v>
      </c>
      <c r="E69" s="3">
        <v>0.35</v>
      </c>
      <c r="F69" s="3">
        <v>0.3</v>
      </c>
      <c r="G69" s="3">
        <f t="shared" si="1"/>
        <v>0.32499999999999996</v>
      </c>
      <c r="H69" s="3">
        <v>1.5</v>
      </c>
      <c r="I69" s="3">
        <v>24.1</v>
      </c>
      <c r="J69" s="3">
        <v>6</v>
      </c>
    </row>
    <row r="70" spans="1:10">
      <c r="A70" s="3">
        <v>7</v>
      </c>
      <c r="B70" s="3">
        <v>68</v>
      </c>
      <c r="C70" s="3">
        <v>59</v>
      </c>
      <c r="D70" s="3">
        <f t="shared" si="0"/>
        <v>149.85999999999999</v>
      </c>
      <c r="E70" s="3">
        <v>0.55000000000000004</v>
      </c>
      <c r="F70" s="3">
        <v>0.45</v>
      </c>
      <c r="G70" s="3">
        <f t="shared" si="1"/>
        <v>0.5</v>
      </c>
      <c r="H70" s="3">
        <v>2.1</v>
      </c>
      <c r="I70" s="3">
        <v>32.799999999999997</v>
      </c>
      <c r="J70" s="3">
        <v>5</v>
      </c>
    </row>
    <row r="71" spans="1:10">
      <c r="A71" s="3">
        <v>7</v>
      </c>
      <c r="B71" s="3">
        <v>68</v>
      </c>
      <c r="C71" s="3">
        <v>42</v>
      </c>
      <c r="D71" s="3">
        <f t="shared" si="0"/>
        <v>106.67999999999999</v>
      </c>
      <c r="E71" s="3">
        <v>0.25</v>
      </c>
      <c r="F71" s="3">
        <v>0.2</v>
      </c>
      <c r="G71" s="3">
        <f t="shared" si="1"/>
        <v>0.22500000000000001</v>
      </c>
      <c r="H71" s="3">
        <v>1.75</v>
      </c>
      <c r="I71" s="3">
        <v>23.8</v>
      </c>
      <c r="J71" s="3">
        <v>6</v>
      </c>
    </row>
    <row r="72" spans="1:10">
      <c r="A72" s="3">
        <v>7</v>
      </c>
      <c r="B72" s="3">
        <v>68</v>
      </c>
      <c r="C72" s="3">
        <v>34</v>
      </c>
      <c r="D72" s="3">
        <f t="shared" ref="D72:D86" si="2">CONVERT(C72,"in","cm")</f>
        <v>86.36</v>
      </c>
      <c r="E72" s="3">
        <v>0.3</v>
      </c>
      <c r="F72" s="3">
        <v>0.25</v>
      </c>
      <c r="G72" s="3">
        <f t="shared" ref="G72:G86" si="3">AVERAGE(E72:F72)</f>
        <v>0.27500000000000002</v>
      </c>
      <c r="H72" s="3">
        <v>1.3</v>
      </c>
      <c r="I72" s="3">
        <v>20.100000000000001</v>
      </c>
      <c r="J72" s="3">
        <v>6</v>
      </c>
    </row>
    <row r="73" spans="1:10">
      <c r="A73" s="3">
        <v>7</v>
      </c>
      <c r="B73" s="3">
        <v>68</v>
      </c>
      <c r="C73" s="3">
        <v>34</v>
      </c>
      <c r="D73" s="3">
        <f t="shared" si="2"/>
        <v>86.36</v>
      </c>
      <c r="E73" s="3">
        <v>0.25</v>
      </c>
      <c r="F73" s="3">
        <v>0.25</v>
      </c>
      <c r="G73" s="3">
        <f t="shared" si="3"/>
        <v>0.25</v>
      </c>
      <c r="H73" s="3">
        <v>1.5</v>
      </c>
      <c r="I73" s="3">
        <v>21.8</v>
      </c>
      <c r="J73" s="3">
        <v>6</v>
      </c>
    </row>
    <row r="74" spans="1:10">
      <c r="A74" s="3">
        <v>7</v>
      </c>
      <c r="B74" s="3">
        <v>68</v>
      </c>
      <c r="C74" s="3">
        <v>57</v>
      </c>
      <c r="D74" s="3">
        <f t="shared" si="2"/>
        <v>144.78</v>
      </c>
      <c r="E74" s="3">
        <v>0.4</v>
      </c>
      <c r="F74" s="3">
        <v>0.35</v>
      </c>
      <c r="G74" s="3">
        <f t="shared" si="3"/>
        <v>0.375</v>
      </c>
      <c r="H74" s="3">
        <v>1.75</v>
      </c>
      <c r="I74" s="3">
        <v>25.5</v>
      </c>
      <c r="J74" s="3">
        <v>6</v>
      </c>
    </row>
    <row r="75" spans="1:10">
      <c r="A75" s="3">
        <v>7</v>
      </c>
      <c r="B75" s="3">
        <v>68</v>
      </c>
      <c r="C75" s="3">
        <v>42</v>
      </c>
      <c r="D75" s="3">
        <f t="shared" si="2"/>
        <v>106.67999999999999</v>
      </c>
      <c r="E75" s="3">
        <v>0.25</v>
      </c>
      <c r="F75" s="3">
        <v>0.25</v>
      </c>
      <c r="G75" s="3">
        <f t="shared" si="3"/>
        <v>0.25</v>
      </c>
      <c r="H75" s="3">
        <v>1.1000000000000001</v>
      </c>
      <c r="I75" s="3">
        <v>24.5</v>
      </c>
      <c r="J75" s="3">
        <v>6</v>
      </c>
    </row>
    <row r="76" spans="1:10">
      <c r="A76" s="3">
        <v>7</v>
      </c>
      <c r="B76" s="3">
        <v>68</v>
      </c>
      <c r="C76" s="3">
        <v>64</v>
      </c>
      <c r="D76" s="3">
        <f t="shared" si="2"/>
        <v>162.56</v>
      </c>
      <c r="E76" s="3">
        <v>0.35</v>
      </c>
      <c r="F76" s="3">
        <v>0.3</v>
      </c>
      <c r="G76" s="3">
        <f t="shared" si="3"/>
        <v>0.32499999999999996</v>
      </c>
      <c r="H76" s="3">
        <v>1.65</v>
      </c>
      <c r="I76" s="3">
        <v>29</v>
      </c>
      <c r="J76" s="3">
        <v>6</v>
      </c>
    </row>
    <row r="77" spans="1:10">
      <c r="A77" s="3">
        <v>8</v>
      </c>
      <c r="B77" s="3">
        <v>186</v>
      </c>
      <c r="C77" s="3">
        <v>35</v>
      </c>
      <c r="D77" s="3">
        <f t="shared" si="2"/>
        <v>88.9</v>
      </c>
      <c r="E77" s="3">
        <v>0.2</v>
      </c>
      <c r="F77" s="3">
        <v>0.2</v>
      </c>
      <c r="G77" s="3">
        <f t="shared" si="3"/>
        <v>0.2</v>
      </c>
      <c r="H77" s="3">
        <v>1.3</v>
      </c>
      <c r="I77" s="3">
        <v>25.3</v>
      </c>
      <c r="J77" s="3">
        <v>7</v>
      </c>
    </row>
    <row r="78" spans="1:10">
      <c r="A78" s="3">
        <v>8</v>
      </c>
      <c r="B78" s="3">
        <v>186</v>
      </c>
      <c r="C78" s="3">
        <v>60</v>
      </c>
      <c r="D78" s="3">
        <f t="shared" si="2"/>
        <v>152.4</v>
      </c>
      <c r="E78" s="3">
        <v>0.4</v>
      </c>
      <c r="F78" s="3">
        <v>0.25</v>
      </c>
      <c r="G78" s="3">
        <f t="shared" si="3"/>
        <v>0.32500000000000001</v>
      </c>
      <c r="H78" s="3">
        <v>1.65</v>
      </c>
      <c r="I78" s="3">
        <v>25.8</v>
      </c>
      <c r="J78" s="3">
        <v>6</v>
      </c>
    </row>
    <row r="79" spans="1:10">
      <c r="A79" s="3">
        <v>8</v>
      </c>
      <c r="B79" s="3">
        <v>186</v>
      </c>
      <c r="C79" s="3">
        <v>34</v>
      </c>
      <c r="D79" s="3">
        <f t="shared" si="2"/>
        <v>86.36</v>
      </c>
      <c r="E79" s="3">
        <v>0.25</v>
      </c>
      <c r="F79" s="3">
        <v>0.25</v>
      </c>
      <c r="G79" s="3">
        <f t="shared" si="3"/>
        <v>0.25</v>
      </c>
      <c r="H79" s="3">
        <v>1.4</v>
      </c>
      <c r="I79" s="3">
        <v>19.5</v>
      </c>
      <c r="J79" s="3">
        <v>6</v>
      </c>
    </row>
    <row r="80" spans="1:10">
      <c r="A80" s="3">
        <v>8</v>
      </c>
      <c r="B80" s="3">
        <v>186</v>
      </c>
      <c r="C80" s="3">
        <v>42</v>
      </c>
      <c r="D80" s="3">
        <f t="shared" si="2"/>
        <v>106.67999999999999</v>
      </c>
      <c r="E80" s="3">
        <v>0.35</v>
      </c>
      <c r="F80" s="3">
        <v>0.25</v>
      </c>
      <c r="G80" s="3">
        <f t="shared" si="3"/>
        <v>0.3</v>
      </c>
      <c r="H80" s="3">
        <v>1.4</v>
      </c>
      <c r="I80" s="3">
        <v>24.4</v>
      </c>
      <c r="J80" s="3">
        <v>8</v>
      </c>
    </row>
    <row r="81" spans="1:10">
      <c r="A81" s="3">
        <v>8</v>
      </c>
      <c r="B81" s="3">
        <v>186</v>
      </c>
      <c r="C81" s="3">
        <v>26</v>
      </c>
      <c r="D81" s="3">
        <f t="shared" si="2"/>
        <v>66.039999999999992</v>
      </c>
      <c r="E81" s="3">
        <v>0.15</v>
      </c>
      <c r="F81" s="3">
        <v>0.15</v>
      </c>
      <c r="G81" s="3">
        <f t="shared" si="3"/>
        <v>0.15</v>
      </c>
      <c r="H81" s="3">
        <v>0.8</v>
      </c>
      <c r="I81" s="3">
        <v>19.899999999999999</v>
      </c>
      <c r="J81" s="3">
        <v>5</v>
      </c>
    </row>
    <row r="82" spans="1:10">
      <c r="A82" s="3">
        <v>8</v>
      </c>
      <c r="B82" s="3">
        <v>186</v>
      </c>
      <c r="C82" s="3">
        <v>48</v>
      </c>
      <c r="D82" s="3">
        <f t="shared" si="2"/>
        <v>121.92</v>
      </c>
      <c r="E82" s="3">
        <v>0.25</v>
      </c>
      <c r="F82" s="3">
        <v>0.25</v>
      </c>
      <c r="G82" s="3">
        <f t="shared" si="3"/>
        <v>0.25</v>
      </c>
      <c r="H82" s="3">
        <v>1.4</v>
      </c>
      <c r="I82" s="3">
        <v>25.2</v>
      </c>
      <c r="J82" s="3">
        <v>7</v>
      </c>
    </row>
    <row r="83" spans="1:10">
      <c r="A83" s="3">
        <v>8</v>
      </c>
      <c r="B83" s="3">
        <v>186</v>
      </c>
      <c r="C83" s="3">
        <v>51</v>
      </c>
      <c r="D83" s="3">
        <f t="shared" si="2"/>
        <v>129.54000000000002</v>
      </c>
      <c r="E83" s="3">
        <v>0.35</v>
      </c>
      <c r="F83" s="3">
        <v>0.3</v>
      </c>
      <c r="G83" s="3">
        <f t="shared" si="3"/>
        <v>0.32499999999999996</v>
      </c>
      <c r="H83" s="3">
        <v>1.4</v>
      </c>
      <c r="I83" s="3">
        <v>23.6</v>
      </c>
      <c r="J83" s="3">
        <v>7</v>
      </c>
    </row>
    <row r="84" spans="1:10">
      <c r="A84" s="3">
        <v>8</v>
      </c>
      <c r="B84" s="3">
        <v>186</v>
      </c>
      <c r="C84" s="3">
        <v>44</v>
      </c>
      <c r="D84" s="3">
        <f t="shared" si="2"/>
        <v>111.75999999999999</v>
      </c>
      <c r="E84" s="3">
        <v>0.3</v>
      </c>
      <c r="F84" s="3">
        <v>0.25</v>
      </c>
      <c r="G84" s="3">
        <f t="shared" si="3"/>
        <v>0.27500000000000002</v>
      </c>
      <c r="H84" s="3">
        <v>1.4</v>
      </c>
      <c r="I84" s="3">
        <v>28.9</v>
      </c>
      <c r="J84" s="3">
        <v>6</v>
      </c>
    </row>
    <row r="85" spans="1:10">
      <c r="A85" s="3">
        <v>8</v>
      </c>
      <c r="B85" s="3">
        <v>186</v>
      </c>
      <c r="C85" s="3">
        <v>17</v>
      </c>
      <c r="D85" s="3">
        <f t="shared" si="2"/>
        <v>43.18</v>
      </c>
      <c r="E85" s="3">
        <v>0.15</v>
      </c>
      <c r="F85" s="3">
        <v>0.15</v>
      </c>
      <c r="G85" s="3">
        <f t="shared" si="3"/>
        <v>0.15</v>
      </c>
      <c r="H85" s="3">
        <v>0.85</v>
      </c>
      <c r="I85" s="3">
        <v>20.5</v>
      </c>
      <c r="J85" s="3">
        <v>4</v>
      </c>
    </row>
    <row r="86" spans="1:10">
      <c r="A86" s="3">
        <v>8</v>
      </c>
      <c r="B86" s="3">
        <v>186</v>
      </c>
      <c r="C86" s="3">
        <v>45</v>
      </c>
      <c r="D86" s="3">
        <f t="shared" si="2"/>
        <v>114.3</v>
      </c>
      <c r="E86" s="3">
        <v>0.35</v>
      </c>
      <c r="F86" s="3">
        <v>0.3</v>
      </c>
      <c r="G86" s="3">
        <f t="shared" si="3"/>
        <v>0.32499999999999996</v>
      </c>
      <c r="H86" s="3">
        <v>1.5</v>
      </c>
      <c r="I86" s="3">
        <v>30.2</v>
      </c>
      <c r="J86" s="3">
        <v>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22"/>
  <sheetViews>
    <sheetView workbookViewId="0"/>
  </sheetViews>
  <sheetFormatPr defaultRowHeight="15"/>
  <sheetData>
    <row r="4" spans="3:6">
      <c r="C4" s="3" t="s">
        <v>78</v>
      </c>
      <c r="D4" s="3" t="s">
        <v>81</v>
      </c>
      <c r="E4" s="3" t="s">
        <v>82</v>
      </c>
      <c r="F4" s="3" t="s">
        <v>83</v>
      </c>
    </row>
    <row r="5" spans="3:6">
      <c r="C5" s="3">
        <v>6</v>
      </c>
      <c r="D5" s="29">
        <f>'6x6 Patch'!W73</f>
        <v>0.25530328857105994</v>
      </c>
      <c r="E5" s="29">
        <f>'9x6 Patch'!W87</f>
        <v>0.17625104480600134</v>
      </c>
      <c r="F5" s="29">
        <f>'12x6 Patch'!F87</f>
        <v>0.32441311346912677</v>
      </c>
    </row>
    <row r="6" spans="3:6">
      <c r="C6" s="3">
        <v>8.5</v>
      </c>
      <c r="D6" s="29">
        <f>'6x6 Patch'!E82</f>
        <v>0.464235492846714</v>
      </c>
      <c r="E6" s="29">
        <f>'9x6 Patch'!N103</f>
        <v>-0.45624060174742576</v>
      </c>
      <c r="F6" s="3"/>
    </row>
    <row r="7" spans="3:6">
      <c r="C7" s="3">
        <v>14</v>
      </c>
      <c r="D7" s="29">
        <f>'6x6 Patch'!N82</f>
        <v>0.73874616361465673</v>
      </c>
      <c r="E7" s="29">
        <f>'9x6 Patch'!E87</f>
        <v>-0.13709215029295391</v>
      </c>
      <c r="F7" s="3"/>
    </row>
    <row r="9" spans="3:6">
      <c r="E9" s="12">
        <f>'9x6 Patch'!E88</f>
        <v>0.3167610327713164</v>
      </c>
      <c r="F9" s="12">
        <f>'12x6 Patch'!F88</f>
        <v>0.37622173823555272</v>
      </c>
    </row>
    <row r="10" spans="3:6">
      <c r="E10" s="12">
        <f>'9x6 Patch'!N104</f>
        <v>0.38020050145618933</v>
      </c>
    </row>
    <row r="11" spans="3:6">
      <c r="E11" s="12">
        <f>'9x6 Patch'!W88</f>
        <v>0.81620119032478811</v>
      </c>
    </row>
    <row r="13" spans="3:6">
      <c r="C13" t="s">
        <v>86</v>
      </c>
    </row>
    <row r="14" spans="3:6" ht="18">
      <c r="C14" t="s">
        <v>79</v>
      </c>
    </row>
    <row r="15" spans="3:6">
      <c r="C15" t="s">
        <v>80</v>
      </c>
    </row>
    <row r="16" spans="3:6">
      <c r="C16" t="s">
        <v>84</v>
      </c>
    </row>
    <row r="17" spans="3:18">
      <c r="C17" t="s">
        <v>85</v>
      </c>
    </row>
    <row r="22" spans="3:18">
      <c r="I22" t="s">
        <v>87</v>
      </c>
      <c r="R22" t="s">
        <v>88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/>
  </sheetViews>
  <sheetFormatPr defaultRowHeight="15"/>
  <cols>
    <col min="4" max="4" width="10.85546875" bestFit="1" customWidth="1"/>
    <col min="5" max="5" width="11" customWidth="1"/>
    <col min="6" max="6" width="10.42578125" bestFit="1" customWidth="1"/>
  </cols>
  <sheetData>
    <row r="1" spans="1:7">
      <c r="A1" t="s">
        <v>374</v>
      </c>
    </row>
    <row r="2" spans="1:7" ht="15.75" thickBot="1">
      <c r="A2" s="9" t="s">
        <v>24</v>
      </c>
      <c r="B2" s="9"/>
      <c r="C2" s="28">
        <v>42223</v>
      </c>
    </row>
    <row r="3" spans="1:7" ht="15.75" thickBot="1">
      <c r="A3" s="16" t="s">
        <v>21</v>
      </c>
      <c r="B3" s="17" t="s">
        <v>22</v>
      </c>
    </row>
    <row r="4" spans="1:7" ht="18">
      <c r="A4" s="18" t="s">
        <v>5</v>
      </c>
      <c r="B4" s="8">
        <v>5.0000000000000001E-3</v>
      </c>
      <c r="D4" s="16" t="s">
        <v>34</v>
      </c>
      <c r="E4" s="17">
        <v>8.5</v>
      </c>
    </row>
    <row r="5" spans="1:7" ht="18">
      <c r="A5" s="18" t="s">
        <v>14</v>
      </c>
      <c r="B5" s="26">
        <v>5</v>
      </c>
      <c r="C5" t="s">
        <v>15</v>
      </c>
      <c r="D5" s="18" t="s">
        <v>35</v>
      </c>
      <c r="E5" s="8">
        <v>8.625</v>
      </c>
    </row>
    <row r="6" spans="1:7" ht="18">
      <c r="A6" s="18" t="s">
        <v>23</v>
      </c>
      <c r="B6" s="8">
        <v>1</v>
      </c>
      <c r="D6" s="32" t="s">
        <v>38</v>
      </c>
      <c r="E6" s="25">
        <f>E7/0.3048</f>
        <v>0.59992500937382831</v>
      </c>
    </row>
    <row r="7" spans="1:7" ht="18">
      <c r="A7" s="18" t="s">
        <v>0</v>
      </c>
      <c r="B7" s="8">
        <f>AVERAGE(E4:E5)</f>
        <v>8.5625</v>
      </c>
      <c r="D7" s="32" t="s">
        <v>25</v>
      </c>
      <c r="E7" s="25">
        <f>AVERAGE(G20:G54)</f>
        <v>0.18285714285714288</v>
      </c>
      <c r="G7" t="s">
        <v>232</v>
      </c>
    </row>
    <row r="8" spans="1:7" ht="18.75">
      <c r="A8" s="18" t="s">
        <v>26</v>
      </c>
      <c r="B8" s="25">
        <f>B6*B7/12</f>
        <v>0.71354166666666663</v>
      </c>
      <c r="D8" s="18" t="s">
        <v>67</v>
      </c>
      <c r="E8" s="25">
        <f>E7*B6*0.3048*B7/12*0.3048</f>
        <v>1.2121634742857145E-2</v>
      </c>
      <c r="G8">
        <f>CONVERT(B7,"in","m")</f>
        <v>0.2174875</v>
      </c>
    </row>
    <row r="9" spans="1:7" ht="18.75" thickBot="1">
      <c r="A9" s="18" t="s">
        <v>27</v>
      </c>
      <c r="B9" s="26">
        <v>1.75</v>
      </c>
      <c r="D9" s="27" t="s">
        <v>68</v>
      </c>
      <c r="E9" s="44">
        <f>E8/0.3048^3</f>
        <v>0.42807149106361703</v>
      </c>
      <c r="G9">
        <f>G8/8</f>
        <v>2.71859375E-2</v>
      </c>
    </row>
    <row r="10" spans="1:7" ht="18">
      <c r="A10" s="18" t="s">
        <v>28</v>
      </c>
      <c r="B10" s="25">
        <f>SQRT(32.2)*B6*(B9/12)^(3/2)</f>
        <v>0.31601896021851694</v>
      </c>
      <c r="F10">
        <v>1</v>
      </c>
      <c r="G10" s="12">
        <f>G8-0.5*G9</f>
        <v>0.20389453125000001</v>
      </c>
    </row>
    <row r="11" spans="1:7" ht="18.75" thickBot="1">
      <c r="A11" s="27" t="s">
        <v>29</v>
      </c>
      <c r="B11" s="34">
        <f>B10*0.3048^3</f>
        <v>8.9486604166710958E-3</v>
      </c>
      <c r="D11" s="11"/>
      <c r="F11">
        <v>2</v>
      </c>
      <c r="G11" s="12">
        <f>G8-1.5*G9</f>
        <v>0.17670859375</v>
      </c>
    </row>
    <row r="12" spans="1:7">
      <c r="F12">
        <v>3</v>
      </c>
      <c r="G12" s="12">
        <f>G8-2.5*G9</f>
        <v>0.14952265625</v>
      </c>
    </row>
    <row r="13" spans="1:7">
      <c r="F13">
        <v>4</v>
      </c>
      <c r="G13" s="12">
        <f>G8-3.5*G9</f>
        <v>0.12233671875</v>
      </c>
    </row>
    <row r="14" spans="1:7">
      <c r="F14">
        <v>5</v>
      </c>
      <c r="G14" s="12">
        <f>G8-4.5*G9</f>
        <v>9.5150781249999997E-2</v>
      </c>
    </row>
    <row r="15" spans="1:7">
      <c r="F15">
        <v>6</v>
      </c>
      <c r="G15" s="12">
        <f>G8-5.5*G9</f>
        <v>6.7964843750000004E-2</v>
      </c>
    </row>
    <row r="16" spans="1:7">
      <c r="F16">
        <v>7</v>
      </c>
      <c r="G16" s="12">
        <f>G8-6.5*G9</f>
        <v>4.0778906249999997E-2</v>
      </c>
    </row>
    <row r="17" spans="4:9">
      <c r="G17" s="12"/>
    </row>
    <row r="18" spans="4:9" ht="15.75" thickBot="1"/>
    <row r="19" spans="4:9" ht="15.75" thickBot="1">
      <c r="D19" s="45" t="s">
        <v>7</v>
      </c>
      <c r="E19" s="46" t="s">
        <v>8</v>
      </c>
      <c r="F19" s="96" t="s">
        <v>64</v>
      </c>
      <c r="G19" s="46" t="s">
        <v>9</v>
      </c>
      <c r="H19" s="46" t="s">
        <v>65</v>
      </c>
      <c r="I19" s="97" t="s">
        <v>66</v>
      </c>
    </row>
    <row r="20" spans="4:9">
      <c r="D20" s="90" t="s">
        <v>32</v>
      </c>
      <c r="E20" s="91">
        <v>0.2</v>
      </c>
      <c r="F20" s="94">
        <f>-CONVERT(E20,"m","in")</f>
        <v>-7.8740157480314963</v>
      </c>
      <c r="G20" s="91">
        <v>0.21</v>
      </c>
      <c r="H20" s="95">
        <f>CONVERT(G20,"m","ft")</f>
        <v>0.6889763779527559</v>
      </c>
      <c r="I20" s="98">
        <f>10+F20</f>
        <v>2.1259842519685037</v>
      </c>
    </row>
    <row r="21" spans="4:9">
      <c r="D21" s="5" t="s">
        <v>32</v>
      </c>
      <c r="E21" s="3">
        <v>0.18</v>
      </c>
      <c r="F21" s="15">
        <f t="shared" ref="F21:F54" si="0">-CONVERT(E21,"m","in")</f>
        <v>-7.0866141732283463</v>
      </c>
      <c r="G21" s="3">
        <v>0.19</v>
      </c>
      <c r="H21" s="29">
        <f t="shared" ref="H21:H54" si="1">CONVERT(G21,"m","ft")</f>
        <v>0.62335958005249348</v>
      </c>
      <c r="I21" s="99">
        <f t="shared" ref="I21:I54" si="2">10+F21</f>
        <v>2.9133858267716537</v>
      </c>
    </row>
    <row r="22" spans="4:9">
      <c r="D22" s="5" t="s">
        <v>32</v>
      </c>
      <c r="E22" s="3">
        <v>0.15</v>
      </c>
      <c r="F22" s="15">
        <f t="shared" si="0"/>
        <v>-5.9055118110236222</v>
      </c>
      <c r="G22" s="3">
        <v>0.15</v>
      </c>
      <c r="H22" s="29">
        <f t="shared" si="1"/>
        <v>0.49212598425196852</v>
      </c>
      <c r="I22" s="99">
        <f t="shared" si="2"/>
        <v>4.0944881889763778</v>
      </c>
    </row>
    <row r="23" spans="4:9">
      <c r="D23" s="5" t="s">
        <v>32</v>
      </c>
      <c r="E23" s="3">
        <v>0.12</v>
      </c>
      <c r="F23" s="15">
        <f t="shared" si="0"/>
        <v>-4.7244094488188972</v>
      </c>
      <c r="G23" s="3">
        <v>0.15</v>
      </c>
      <c r="H23" s="29">
        <f t="shared" si="1"/>
        <v>0.49212598425196852</v>
      </c>
      <c r="I23" s="99">
        <f t="shared" si="2"/>
        <v>5.2755905511811028</v>
      </c>
    </row>
    <row r="24" spans="4:9">
      <c r="D24" s="5" t="s">
        <v>32</v>
      </c>
      <c r="E24" s="3">
        <v>0.1</v>
      </c>
      <c r="F24" s="15">
        <f t="shared" si="0"/>
        <v>-3.9370078740157481</v>
      </c>
      <c r="G24" s="3">
        <v>0.16</v>
      </c>
      <c r="H24" s="29">
        <f t="shared" si="1"/>
        <v>0.52493438320209973</v>
      </c>
      <c r="I24" s="99">
        <f t="shared" si="2"/>
        <v>6.0629921259842519</v>
      </c>
    </row>
    <row r="25" spans="4:9">
      <c r="D25" s="5" t="s">
        <v>32</v>
      </c>
      <c r="E25" s="3">
        <v>7.0000000000000007E-2</v>
      </c>
      <c r="F25" s="15">
        <f t="shared" si="0"/>
        <v>-2.7559055118110241</v>
      </c>
      <c r="G25" s="3">
        <v>0.18</v>
      </c>
      <c r="H25" s="29">
        <f t="shared" si="1"/>
        <v>0.59055118110236215</v>
      </c>
      <c r="I25" s="99">
        <f t="shared" si="2"/>
        <v>7.2440944881889759</v>
      </c>
    </row>
    <row r="26" spans="4:9">
      <c r="D26" s="5" t="s">
        <v>32</v>
      </c>
      <c r="E26" s="3">
        <v>0.04</v>
      </c>
      <c r="F26" s="15">
        <f t="shared" si="0"/>
        <v>-1.5748031496062993</v>
      </c>
      <c r="G26" s="3">
        <v>0.2</v>
      </c>
      <c r="H26" s="29">
        <f t="shared" si="1"/>
        <v>0.65616797900262469</v>
      </c>
      <c r="I26" s="99">
        <f t="shared" si="2"/>
        <v>8.4251968503937</v>
      </c>
    </row>
    <row r="27" spans="4:9">
      <c r="D27" s="5" t="s">
        <v>18</v>
      </c>
      <c r="E27" s="3">
        <v>0.2</v>
      </c>
      <c r="F27" s="15">
        <f t="shared" si="0"/>
        <v>-7.8740157480314963</v>
      </c>
      <c r="G27" s="3">
        <v>0.2</v>
      </c>
      <c r="H27" s="29">
        <f t="shared" si="1"/>
        <v>0.65616797900262469</v>
      </c>
      <c r="I27" s="99">
        <f t="shared" si="2"/>
        <v>2.1259842519685037</v>
      </c>
    </row>
    <row r="28" spans="4:9">
      <c r="D28" s="5" t="s">
        <v>18</v>
      </c>
      <c r="E28" s="3">
        <v>0.18</v>
      </c>
      <c r="F28" s="15">
        <f t="shared" si="0"/>
        <v>-7.0866141732283463</v>
      </c>
      <c r="G28" s="3">
        <v>0.2</v>
      </c>
      <c r="H28" s="29">
        <f t="shared" si="1"/>
        <v>0.65616797900262469</v>
      </c>
      <c r="I28" s="99">
        <f t="shared" si="2"/>
        <v>2.9133858267716537</v>
      </c>
    </row>
    <row r="29" spans="4:9">
      <c r="D29" s="5" t="s">
        <v>18</v>
      </c>
      <c r="E29" s="3">
        <v>0.15</v>
      </c>
      <c r="F29" s="15">
        <f t="shared" si="0"/>
        <v>-5.9055118110236222</v>
      </c>
      <c r="G29" s="3">
        <v>0.18</v>
      </c>
      <c r="H29" s="29">
        <f t="shared" si="1"/>
        <v>0.59055118110236215</v>
      </c>
      <c r="I29" s="99">
        <f t="shared" si="2"/>
        <v>4.0944881889763778</v>
      </c>
    </row>
    <row r="30" spans="4:9">
      <c r="D30" s="5" t="s">
        <v>18</v>
      </c>
      <c r="E30" s="3">
        <v>0.12</v>
      </c>
      <c r="F30" s="15">
        <f t="shared" si="0"/>
        <v>-4.7244094488188972</v>
      </c>
      <c r="G30" s="3">
        <v>0.16</v>
      </c>
      <c r="H30" s="29">
        <f t="shared" si="1"/>
        <v>0.52493438320209973</v>
      </c>
      <c r="I30" s="99">
        <f t="shared" si="2"/>
        <v>5.2755905511811028</v>
      </c>
    </row>
    <row r="31" spans="4:9">
      <c r="D31" s="5" t="s">
        <v>18</v>
      </c>
      <c r="E31" s="3">
        <v>0.1</v>
      </c>
      <c r="F31" s="15">
        <f t="shared" si="0"/>
        <v>-3.9370078740157481</v>
      </c>
      <c r="G31" s="3">
        <v>0.17</v>
      </c>
      <c r="H31" s="29">
        <f t="shared" si="1"/>
        <v>0.55774278215223105</v>
      </c>
      <c r="I31" s="99">
        <f t="shared" si="2"/>
        <v>6.0629921259842519</v>
      </c>
    </row>
    <row r="32" spans="4:9">
      <c r="D32" s="5" t="s">
        <v>18</v>
      </c>
      <c r="E32" s="3">
        <v>7.0000000000000007E-2</v>
      </c>
      <c r="F32" s="15">
        <f t="shared" si="0"/>
        <v>-2.7559055118110241</v>
      </c>
      <c r="G32" s="3">
        <v>0.19</v>
      </c>
      <c r="H32" s="29">
        <f t="shared" si="1"/>
        <v>0.62335958005249348</v>
      </c>
      <c r="I32" s="99">
        <f t="shared" si="2"/>
        <v>7.2440944881889759</v>
      </c>
    </row>
    <row r="33" spans="4:9">
      <c r="D33" s="5" t="s">
        <v>18</v>
      </c>
      <c r="E33" s="3">
        <v>0.04</v>
      </c>
      <c r="F33" s="15">
        <f t="shared" si="0"/>
        <v>-1.5748031496062993</v>
      </c>
      <c r="G33" s="3">
        <v>0.19</v>
      </c>
      <c r="H33" s="29">
        <f t="shared" si="1"/>
        <v>0.62335958005249348</v>
      </c>
      <c r="I33" s="99">
        <f t="shared" si="2"/>
        <v>8.4251968503937</v>
      </c>
    </row>
    <row r="34" spans="4:9">
      <c r="D34" s="5" t="s">
        <v>61</v>
      </c>
      <c r="E34" s="3">
        <v>0.2</v>
      </c>
      <c r="F34" s="15">
        <f t="shared" si="0"/>
        <v>-7.8740157480314963</v>
      </c>
      <c r="G34" s="3">
        <v>0.19</v>
      </c>
      <c r="H34" s="29">
        <f t="shared" si="1"/>
        <v>0.62335958005249348</v>
      </c>
      <c r="I34" s="99">
        <f t="shared" si="2"/>
        <v>2.1259842519685037</v>
      </c>
    </row>
    <row r="35" spans="4:9">
      <c r="D35" s="5" t="s">
        <v>61</v>
      </c>
      <c r="E35" s="3">
        <v>0.18</v>
      </c>
      <c r="F35" s="15">
        <f t="shared" si="0"/>
        <v>-7.0866141732283463</v>
      </c>
      <c r="G35" s="3">
        <v>0.19</v>
      </c>
      <c r="H35" s="29">
        <f t="shared" si="1"/>
        <v>0.62335958005249348</v>
      </c>
      <c r="I35" s="99">
        <f t="shared" si="2"/>
        <v>2.9133858267716537</v>
      </c>
    </row>
    <row r="36" spans="4:9">
      <c r="D36" s="5" t="s">
        <v>61</v>
      </c>
      <c r="E36" s="3">
        <v>0.15</v>
      </c>
      <c r="F36" s="15">
        <f t="shared" si="0"/>
        <v>-5.9055118110236222</v>
      </c>
      <c r="G36" s="3">
        <v>0.18</v>
      </c>
      <c r="H36" s="29">
        <f t="shared" si="1"/>
        <v>0.59055118110236215</v>
      </c>
      <c r="I36" s="99">
        <f t="shared" si="2"/>
        <v>4.0944881889763778</v>
      </c>
    </row>
    <row r="37" spans="4:9">
      <c r="D37" s="5" t="s">
        <v>61</v>
      </c>
      <c r="E37" s="3">
        <v>0.12</v>
      </c>
      <c r="F37" s="15">
        <f t="shared" si="0"/>
        <v>-4.7244094488188972</v>
      </c>
      <c r="G37" s="3">
        <v>0.18</v>
      </c>
      <c r="H37" s="29">
        <f t="shared" si="1"/>
        <v>0.59055118110236215</v>
      </c>
      <c r="I37" s="99">
        <f t="shared" si="2"/>
        <v>5.2755905511811028</v>
      </c>
    </row>
    <row r="38" spans="4:9">
      <c r="D38" s="5" t="s">
        <v>61</v>
      </c>
      <c r="E38" s="3">
        <v>0.1</v>
      </c>
      <c r="F38" s="15">
        <f t="shared" si="0"/>
        <v>-3.9370078740157481</v>
      </c>
      <c r="G38" s="3">
        <v>0.19</v>
      </c>
      <c r="H38" s="29">
        <f t="shared" si="1"/>
        <v>0.62335958005249348</v>
      </c>
      <c r="I38" s="99">
        <f t="shared" si="2"/>
        <v>6.0629921259842519</v>
      </c>
    </row>
    <row r="39" spans="4:9">
      <c r="D39" s="5" t="s">
        <v>61</v>
      </c>
      <c r="E39" s="3">
        <v>7.0000000000000007E-2</v>
      </c>
      <c r="F39" s="15">
        <f t="shared" si="0"/>
        <v>-2.7559055118110241</v>
      </c>
      <c r="G39" s="3">
        <v>0.2</v>
      </c>
      <c r="H39" s="29">
        <f t="shared" si="1"/>
        <v>0.65616797900262469</v>
      </c>
      <c r="I39" s="99">
        <f t="shared" si="2"/>
        <v>7.2440944881889759</v>
      </c>
    </row>
    <row r="40" spans="4:9">
      <c r="D40" s="5" t="s">
        <v>61</v>
      </c>
      <c r="E40" s="3">
        <v>0.04</v>
      </c>
      <c r="F40" s="15">
        <f t="shared" si="0"/>
        <v>-1.5748031496062993</v>
      </c>
      <c r="G40" s="3">
        <v>0.2</v>
      </c>
      <c r="H40" s="29">
        <f t="shared" si="1"/>
        <v>0.65616797900262469</v>
      </c>
      <c r="I40" s="99">
        <f t="shared" si="2"/>
        <v>8.4251968503937</v>
      </c>
    </row>
    <row r="41" spans="4:9">
      <c r="D41" s="5" t="s">
        <v>19</v>
      </c>
      <c r="E41" s="3">
        <v>0.2</v>
      </c>
      <c r="F41" s="15">
        <f t="shared" si="0"/>
        <v>-7.8740157480314963</v>
      </c>
      <c r="G41" s="3">
        <v>0.17</v>
      </c>
      <c r="H41" s="29">
        <f t="shared" si="1"/>
        <v>0.55774278215223105</v>
      </c>
      <c r="I41" s="99">
        <f t="shared" si="2"/>
        <v>2.1259842519685037</v>
      </c>
    </row>
    <row r="42" spans="4:9">
      <c r="D42" s="5" t="s">
        <v>19</v>
      </c>
      <c r="E42" s="3">
        <v>0.18</v>
      </c>
      <c r="F42" s="15">
        <f t="shared" si="0"/>
        <v>-7.0866141732283463</v>
      </c>
      <c r="G42" s="3">
        <v>0.17</v>
      </c>
      <c r="H42" s="29">
        <f t="shared" si="1"/>
        <v>0.55774278215223105</v>
      </c>
      <c r="I42" s="99">
        <f t="shared" si="2"/>
        <v>2.9133858267716537</v>
      </c>
    </row>
    <row r="43" spans="4:9">
      <c r="D43" s="5" t="s">
        <v>19</v>
      </c>
      <c r="E43" s="3">
        <v>0.15</v>
      </c>
      <c r="F43" s="15">
        <f t="shared" si="0"/>
        <v>-5.9055118110236222</v>
      </c>
      <c r="G43" s="3">
        <v>0.18</v>
      </c>
      <c r="H43" s="29">
        <f t="shared" si="1"/>
        <v>0.59055118110236215</v>
      </c>
      <c r="I43" s="99">
        <f t="shared" si="2"/>
        <v>4.0944881889763778</v>
      </c>
    </row>
    <row r="44" spans="4:9">
      <c r="D44" s="5" t="s">
        <v>19</v>
      </c>
      <c r="E44" s="3">
        <v>0.12</v>
      </c>
      <c r="F44" s="15">
        <f t="shared" si="0"/>
        <v>-4.7244094488188972</v>
      </c>
      <c r="G44" s="3">
        <v>0.18</v>
      </c>
      <c r="H44" s="29">
        <f t="shared" si="1"/>
        <v>0.59055118110236215</v>
      </c>
      <c r="I44" s="99">
        <f t="shared" si="2"/>
        <v>5.2755905511811028</v>
      </c>
    </row>
    <row r="45" spans="4:9">
      <c r="D45" s="5" t="s">
        <v>19</v>
      </c>
      <c r="E45" s="3">
        <v>0.1</v>
      </c>
      <c r="F45" s="15">
        <f t="shared" si="0"/>
        <v>-3.9370078740157481</v>
      </c>
      <c r="G45" s="3">
        <v>0.19</v>
      </c>
      <c r="H45" s="29">
        <f t="shared" si="1"/>
        <v>0.62335958005249348</v>
      </c>
      <c r="I45" s="99">
        <f t="shared" si="2"/>
        <v>6.0629921259842519</v>
      </c>
    </row>
    <row r="46" spans="4:9">
      <c r="D46" s="5" t="s">
        <v>19</v>
      </c>
      <c r="E46" s="3">
        <v>7.0000000000000007E-2</v>
      </c>
      <c r="F46" s="15">
        <f t="shared" si="0"/>
        <v>-2.7559055118110241</v>
      </c>
      <c r="G46" s="3">
        <v>0.2</v>
      </c>
      <c r="H46" s="29">
        <f t="shared" si="1"/>
        <v>0.65616797900262469</v>
      </c>
      <c r="I46" s="99">
        <f t="shared" si="2"/>
        <v>7.2440944881889759</v>
      </c>
    </row>
    <row r="47" spans="4:9">
      <c r="D47" s="5" t="s">
        <v>19</v>
      </c>
      <c r="E47" s="3">
        <v>0.04</v>
      </c>
      <c r="F47" s="15">
        <f t="shared" si="0"/>
        <v>-1.5748031496062993</v>
      </c>
      <c r="G47" s="3">
        <v>0.19</v>
      </c>
      <c r="H47" s="29">
        <f t="shared" si="1"/>
        <v>0.62335958005249348</v>
      </c>
      <c r="I47" s="99">
        <f t="shared" si="2"/>
        <v>8.4251968503937</v>
      </c>
    </row>
    <row r="48" spans="4:9">
      <c r="D48" s="5" t="s">
        <v>52</v>
      </c>
      <c r="E48" s="3">
        <v>0.2</v>
      </c>
      <c r="F48" s="15">
        <f t="shared" si="0"/>
        <v>-7.8740157480314963</v>
      </c>
      <c r="G48" s="3">
        <v>0.16</v>
      </c>
      <c r="H48" s="29">
        <f t="shared" si="1"/>
        <v>0.52493438320209973</v>
      </c>
      <c r="I48" s="99">
        <f t="shared" si="2"/>
        <v>2.1259842519685037</v>
      </c>
    </row>
    <row r="49" spans="4:9">
      <c r="D49" s="5" t="s">
        <v>52</v>
      </c>
      <c r="E49" s="3">
        <v>0.18</v>
      </c>
      <c r="F49" s="15">
        <f t="shared" si="0"/>
        <v>-7.0866141732283463</v>
      </c>
      <c r="G49" s="3">
        <v>0.17</v>
      </c>
      <c r="H49" s="29">
        <f t="shared" si="1"/>
        <v>0.55774278215223105</v>
      </c>
      <c r="I49" s="99">
        <f t="shared" si="2"/>
        <v>2.9133858267716537</v>
      </c>
    </row>
    <row r="50" spans="4:9">
      <c r="D50" s="5" t="s">
        <v>52</v>
      </c>
      <c r="E50" s="3">
        <v>0.15</v>
      </c>
      <c r="F50" s="15">
        <f t="shared" si="0"/>
        <v>-5.9055118110236222</v>
      </c>
      <c r="G50" s="3">
        <v>0.18</v>
      </c>
      <c r="H50" s="29">
        <f t="shared" si="1"/>
        <v>0.59055118110236215</v>
      </c>
      <c r="I50" s="99">
        <f t="shared" si="2"/>
        <v>4.0944881889763778</v>
      </c>
    </row>
    <row r="51" spans="4:9">
      <c r="D51" s="5" t="s">
        <v>52</v>
      </c>
      <c r="E51" s="3">
        <v>0.12</v>
      </c>
      <c r="F51" s="15">
        <f t="shared" si="0"/>
        <v>-4.7244094488188972</v>
      </c>
      <c r="G51" s="3">
        <v>0.18</v>
      </c>
      <c r="H51" s="29">
        <f t="shared" si="1"/>
        <v>0.59055118110236215</v>
      </c>
      <c r="I51" s="99">
        <f t="shared" si="2"/>
        <v>5.2755905511811028</v>
      </c>
    </row>
    <row r="52" spans="4:9">
      <c r="D52" s="5" t="s">
        <v>52</v>
      </c>
      <c r="E52" s="3">
        <v>0.1</v>
      </c>
      <c r="F52" s="15">
        <f t="shared" si="0"/>
        <v>-3.9370078740157481</v>
      </c>
      <c r="G52" s="3">
        <v>0.19</v>
      </c>
      <c r="H52" s="29">
        <f t="shared" si="1"/>
        <v>0.62335958005249348</v>
      </c>
      <c r="I52" s="99">
        <f t="shared" si="2"/>
        <v>6.0629921259842519</v>
      </c>
    </row>
    <row r="53" spans="4:9">
      <c r="D53" s="5" t="s">
        <v>52</v>
      </c>
      <c r="E53" s="3">
        <v>7.0000000000000007E-2</v>
      </c>
      <c r="F53" s="15">
        <f t="shared" si="0"/>
        <v>-2.7559055118110241</v>
      </c>
      <c r="G53" s="3">
        <v>0.19</v>
      </c>
      <c r="H53" s="29">
        <f t="shared" si="1"/>
        <v>0.62335958005249348</v>
      </c>
      <c r="I53" s="99">
        <f t="shared" si="2"/>
        <v>7.2440944881889759</v>
      </c>
    </row>
    <row r="54" spans="4:9" ht="15.75" thickBot="1">
      <c r="D54" s="6" t="s">
        <v>52</v>
      </c>
      <c r="E54" s="7">
        <v>0.04</v>
      </c>
      <c r="F54" s="92">
        <f t="shared" si="0"/>
        <v>-1.5748031496062993</v>
      </c>
      <c r="G54" s="7">
        <v>0.19</v>
      </c>
      <c r="H54" s="93">
        <f t="shared" si="1"/>
        <v>0.62335958005249348</v>
      </c>
      <c r="I54" s="100">
        <f t="shared" si="2"/>
        <v>8.4251968503937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H22" sqref="H22"/>
    </sheetView>
  </sheetViews>
  <sheetFormatPr defaultColWidth="8.85546875" defaultRowHeight="15"/>
  <cols>
    <col min="4" max="4" width="9.7109375" bestFit="1" customWidth="1"/>
    <col min="5" max="5" width="10" bestFit="1" customWidth="1"/>
    <col min="6" max="6" width="9.7109375" bestFit="1" customWidth="1"/>
    <col min="8" max="8" width="20.85546875" bestFit="1" customWidth="1"/>
    <col min="17" max="17" width="10.85546875" bestFit="1" customWidth="1"/>
  </cols>
  <sheetData>
    <row r="1" spans="1:17">
      <c r="A1" s="10" t="s">
        <v>320</v>
      </c>
      <c r="D1" s="259">
        <v>42216</v>
      </c>
    </row>
    <row r="2" spans="1:17" ht="18">
      <c r="A2" s="20" t="s">
        <v>321</v>
      </c>
      <c r="B2" s="3">
        <f>435/1000</f>
        <v>0.435</v>
      </c>
      <c r="C2" t="s">
        <v>322</v>
      </c>
    </row>
    <row r="3" spans="1:17" ht="17.25">
      <c r="A3" s="20" t="s">
        <v>1</v>
      </c>
      <c r="B3" s="3">
        <v>9.81</v>
      </c>
    </row>
    <row r="4" spans="1:17">
      <c r="A4" s="20" t="s">
        <v>2</v>
      </c>
      <c r="B4" s="3">
        <f>305/1000</f>
        <v>0.30499999999999999</v>
      </c>
      <c r="C4" t="s">
        <v>323</v>
      </c>
    </row>
    <row r="5" spans="1:17">
      <c r="A5" s="20" t="s">
        <v>4</v>
      </c>
      <c r="B5" s="3">
        <v>3</v>
      </c>
      <c r="C5" t="s">
        <v>324</v>
      </c>
      <c r="M5" s="108"/>
      <c r="N5" s="108"/>
      <c r="O5" s="108"/>
      <c r="P5" s="108"/>
      <c r="Q5" s="108"/>
    </row>
    <row r="6" spans="1:17">
      <c r="M6" s="108"/>
      <c r="N6" s="108"/>
      <c r="O6" s="39"/>
      <c r="P6" s="39"/>
      <c r="Q6" s="39"/>
    </row>
    <row r="7" spans="1:17">
      <c r="C7" s="264" t="s">
        <v>325</v>
      </c>
      <c r="D7" s="264"/>
      <c r="E7" s="264" t="s">
        <v>326</v>
      </c>
      <c r="F7" s="264"/>
      <c r="I7" s="195"/>
      <c r="J7" s="195"/>
      <c r="M7" s="108"/>
      <c r="N7" s="108"/>
      <c r="O7" s="196"/>
      <c r="P7" s="196"/>
      <c r="Q7" s="197"/>
    </row>
    <row r="8" spans="1:17" ht="18">
      <c r="A8" s="2" t="s">
        <v>27</v>
      </c>
      <c r="B8" s="2" t="s">
        <v>327</v>
      </c>
      <c r="C8" s="2" t="s">
        <v>328</v>
      </c>
      <c r="D8" s="2" t="s">
        <v>329</v>
      </c>
      <c r="E8" s="2" t="s">
        <v>330</v>
      </c>
      <c r="F8" s="2" t="s">
        <v>331</v>
      </c>
      <c r="M8" s="108"/>
      <c r="N8" s="108"/>
      <c r="O8" s="108"/>
      <c r="P8" s="108"/>
      <c r="Q8" s="108"/>
    </row>
    <row r="9" spans="1:17">
      <c r="A9" s="3">
        <f>1/2</f>
        <v>0.5</v>
      </c>
      <c r="B9" s="30">
        <f>CONVERT(A9,"in","m")</f>
        <v>1.2699999999999999E-2</v>
      </c>
      <c r="C9" s="131">
        <f>SQRT($B$3)*$B$4*B9^(3/2)</f>
        <v>1.3672247907058838E-3</v>
      </c>
      <c r="D9" s="30">
        <f>C9/0.3048^3</f>
        <v>4.8283087817135271E-2</v>
      </c>
      <c r="E9" s="14">
        <f t="shared" ref="E9:E29" si="0">$B$5^(5/2)*C9</f>
        <v>2.1312925225832845E-2</v>
      </c>
      <c r="F9" s="30">
        <f>$B$5^(5/2)*E9</f>
        <v>0.33223562414153002</v>
      </c>
      <c r="M9" s="108"/>
      <c r="N9" s="198"/>
      <c r="O9" s="108"/>
      <c r="P9" s="108"/>
      <c r="Q9" s="108"/>
    </row>
    <row r="10" spans="1:17">
      <c r="A10" s="3">
        <f>5/8</f>
        <v>0.625</v>
      </c>
      <c r="B10" s="30">
        <f t="shared" ref="B10:B29" si="1">CONVERT(A10,"in","m")</f>
        <v>1.5875E-2</v>
      </c>
      <c r="C10" s="131">
        <f t="shared" ref="C10:C29" si="2">SQRT($B$3)*$B$4*B10^(3/2)</f>
        <v>1.9107547328383E-3</v>
      </c>
      <c r="D10" s="30">
        <f t="shared" ref="D10:D29" si="3">C10/0.3048^3</f>
        <v>6.747766657669152E-2</v>
      </c>
      <c r="E10" s="14">
        <f t="shared" si="0"/>
        <v>2.9785718502707698E-2</v>
      </c>
      <c r="F10" s="30">
        <f t="shared" ref="F10:F29" si="4">$B$5^(5/2)*E10</f>
        <v>0.46431340007970723</v>
      </c>
      <c r="M10" s="108"/>
      <c r="N10" s="108"/>
      <c r="O10" s="108"/>
      <c r="P10" s="108"/>
      <c r="Q10" s="108"/>
    </row>
    <row r="11" spans="1:17">
      <c r="A11" s="3">
        <f>6/8</f>
        <v>0.75</v>
      </c>
      <c r="B11" s="30">
        <f t="shared" si="1"/>
        <v>1.9050000000000001E-2</v>
      </c>
      <c r="C11" s="131">
        <f t="shared" si="2"/>
        <v>2.511752325684707E-3</v>
      </c>
      <c r="D11" s="30">
        <f t="shared" si="3"/>
        <v>8.8701696268479277E-2</v>
      </c>
      <c r="E11" s="14">
        <f t="shared" si="0"/>
        <v>3.9154343797036834E-2</v>
      </c>
      <c r="F11" s="30">
        <f t="shared" si="4"/>
        <v>0.61035581514138415</v>
      </c>
    </row>
    <row r="12" spans="1:17">
      <c r="A12" s="3">
        <f>7/8</f>
        <v>0.875</v>
      </c>
      <c r="B12" s="30">
        <f t="shared" si="1"/>
        <v>2.2225000000000002E-2</v>
      </c>
      <c r="C12" s="131">
        <f t="shared" si="2"/>
        <v>3.1651696847138427E-3</v>
      </c>
      <c r="D12" s="30">
        <f t="shared" si="3"/>
        <v>0.11177691253262846</v>
      </c>
      <c r="E12" s="14">
        <f t="shared" si="0"/>
        <v>4.934011237651028E-2</v>
      </c>
      <c r="F12" s="30">
        <f t="shared" si="4"/>
        <v>0.76913623338546433</v>
      </c>
    </row>
    <row r="13" spans="1:17">
      <c r="A13" s="3">
        <v>1</v>
      </c>
      <c r="B13" s="30">
        <f t="shared" si="1"/>
        <v>2.5399999999999999E-2</v>
      </c>
      <c r="C13" s="131">
        <f t="shared" si="2"/>
        <v>3.8670956836579585E-3</v>
      </c>
      <c r="D13" s="30">
        <f t="shared" si="3"/>
        <v>0.13656519524848784</v>
      </c>
      <c r="E13" s="14">
        <f t="shared" si="0"/>
        <v>6.0282055816432999E-2</v>
      </c>
      <c r="F13" s="30">
        <f t="shared" si="4"/>
        <v>0.93970425112888456</v>
      </c>
    </row>
    <row r="14" spans="1:17">
      <c r="A14" s="3">
        <f>1+1/8</f>
        <v>1.125</v>
      </c>
      <c r="B14" s="30">
        <f t="shared" si="1"/>
        <v>2.8575E-2</v>
      </c>
      <c r="C14" s="131">
        <f t="shared" si="2"/>
        <v>4.6143836686323618E-3</v>
      </c>
      <c r="D14" s="30">
        <f t="shared" si="3"/>
        <v>0.16295542138283167</v>
      </c>
      <c r="E14" s="14">
        <f t="shared" si="0"/>
        <v>7.1931122637185915E-2</v>
      </c>
      <c r="F14" s="30">
        <f t="shared" si="4"/>
        <v>1.1212952314776647</v>
      </c>
    </row>
    <row r="15" spans="1:17">
      <c r="A15" s="3">
        <v>1.25</v>
      </c>
      <c r="B15" s="30">
        <f t="shared" si="1"/>
        <v>3.175E-2</v>
      </c>
      <c r="C15" s="131">
        <f t="shared" si="2"/>
        <v>5.4044305150970084E-3</v>
      </c>
      <c r="D15" s="30">
        <f t="shared" si="3"/>
        <v>0.19085566246009372</v>
      </c>
      <c r="E15" s="14">
        <f t="shared" si="0"/>
        <v>8.4246734143112942E-2</v>
      </c>
      <c r="F15" s="30">
        <f t="shared" si="4"/>
        <v>1.313276615168574</v>
      </c>
    </row>
    <row r="16" spans="1:17">
      <c r="A16" s="3">
        <f>1+3/8</f>
        <v>1.375</v>
      </c>
      <c r="B16" s="30">
        <f t="shared" si="1"/>
        <v>3.4924999999999998E-2</v>
      </c>
      <c r="C16" s="131">
        <f t="shared" si="2"/>
        <v>6.2350359979099655E-3</v>
      </c>
      <c r="D16" s="30">
        <f t="shared" si="3"/>
        <v>0.22018821826267443</v>
      </c>
      <c r="E16" s="14">
        <f t="shared" si="0"/>
        <v>9.7194592218608822E-2</v>
      </c>
      <c r="F16" s="30">
        <f t="shared" si="4"/>
        <v>1.5151137474921228</v>
      </c>
    </row>
    <row r="17" spans="1:6">
      <c r="A17" s="3">
        <v>1.5</v>
      </c>
      <c r="B17" s="30">
        <f t="shared" si="1"/>
        <v>3.8100000000000002E-2</v>
      </c>
      <c r="C17" s="131">
        <f t="shared" si="2"/>
        <v>7.1043084086109525E-3</v>
      </c>
      <c r="D17" s="30">
        <f t="shared" si="3"/>
        <v>0.25088628373676475</v>
      </c>
      <c r="E17" s="14">
        <f t="shared" si="0"/>
        <v>0.11074520804717673</v>
      </c>
      <c r="F17" s="30">
        <f t="shared" si="4"/>
        <v>1.7263469432924627</v>
      </c>
    </row>
    <row r="18" spans="1:6">
      <c r="A18" s="3">
        <f>1+5/8</f>
        <v>1.625</v>
      </c>
      <c r="B18" s="30">
        <f>CONVERT(A18,"in","m")</f>
        <v>4.1274999999999999E-2</v>
      </c>
      <c r="C18" s="131">
        <f t="shared" si="2"/>
        <v>8.0105985179603247E-3</v>
      </c>
      <c r="D18" s="30">
        <f t="shared" si="3"/>
        <v>0.28289161690141923</v>
      </c>
      <c r="E18" s="14">
        <f t="shared" si="0"/>
        <v>0.12487287268928914</v>
      </c>
      <c r="F18" s="30">
        <f t="shared" si="4"/>
        <v>1.9465754398643604</v>
      </c>
    </row>
    <row r="19" spans="1:6">
      <c r="A19" s="3">
        <f>1.75</f>
        <v>1.75</v>
      </c>
      <c r="B19" s="30">
        <f t="shared" si="1"/>
        <v>4.4450000000000003E-2</v>
      </c>
      <c r="C19" s="131">
        <f t="shared" si="2"/>
        <v>8.9524517906689732E-3</v>
      </c>
      <c r="D19" s="30">
        <f t="shared" si="3"/>
        <v>0.31615285132766846</v>
      </c>
      <c r="E19" s="14">
        <f t="shared" si="0"/>
        <v>0.13955491218374677</v>
      </c>
      <c r="F19" s="30">
        <f t="shared" si="4"/>
        <v>2.1754457851325619</v>
      </c>
    </row>
    <row r="20" spans="1:6">
      <c r="A20" s="3">
        <f>1+7/8</f>
        <v>1.875</v>
      </c>
      <c r="B20" s="30">
        <f t="shared" si="1"/>
        <v>4.7625000000000001E-2</v>
      </c>
      <c r="C20" s="131">
        <f t="shared" si="2"/>
        <v>9.9285728342358975E-3</v>
      </c>
      <c r="D20" s="30">
        <f t="shared" si="3"/>
        <v>0.35062424066106607</v>
      </c>
      <c r="E20" s="14">
        <f t="shared" si="0"/>
        <v>0.15477113335990239</v>
      </c>
      <c r="F20" s="30">
        <f t="shared" si="4"/>
        <v>2.4126431987193251</v>
      </c>
    </row>
    <row r="21" spans="1:6">
      <c r="A21" s="3">
        <v>2</v>
      </c>
      <c r="B21" s="30">
        <f t="shared" si="1"/>
        <v>5.0799999999999998E-2</v>
      </c>
      <c r="C21" s="131">
        <f t="shared" si="2"/>
        <v>1.0937798325647074E-2</v>
      </c>
      <c r="D21" s="30">
        <f t="shared" si="3"/>
        <v>0.38626470253708228</v>
      </c>
      <c r="E21" s="14">
        <f t="shared" si="0"/>
        <v>0.17050340180666282</v>
      </c>
      <c r="F21" s="30">
        <f t="shared" si="4"/>
        <v>2.657884993132241</v>
      </c>
    </row>
    <row r="22" spans="1:6">
      <c r="A22" s="3">
        <v>2.125</v>
      </c>
      <c r="B22" s="30">
        <f t="shared" si="1"/>
        <v>5.3975000000000002E-2</v>
      </c>
      <c r="C22" s="131">
        <f t="shared" si="2"/>
        <v>1.197907598034214E-2</v>
      </c>
      <c r="D22" s="30">
        <f t="shared" si="3"/>
        <v>0.42303707587717182</v>
      </c>
      <c r="E22" s="14">
        <f t="shared" si="0"/>
        <v>0.18673531403112495</v>
      </c>
      <c r="F22" s="30">
        <f t="shared" si="4"/>
        <v>2.9109154632231418</v>
      </c>
    </row>
    <row r="23" spans="1:6">
      <c r="A23" s="3">
        <v>2.25</v>
      </c>
      <c r="B23" s="30">
        <f t="shared" si="1"/>
        <v>5.7149999999999999E-2</v>
      </c>
      <c r="C23" s="131">
        <f t="shared" si="2"/>
        <v>1.3051447932345608E-2</v>
      </c>
      <c r="D23" s="30">
        <f t="shared" si="3"/>
        <v>0.46090753396364642</v>
      </c>
      <c r="E23" s="14">
        <f t="shared" si="0"/>
        <v>0.20345193838046136</v>
      </c>
      <c r="F23" s="30">
        <f t="shared" si="4"/>
        <v>3.171501847559985</v>
      </c>
    </row>
    <row r="24" spans="1:6">
      <c r="A24" s="3">
        <f>2+3/8</f>
        <v>2.375</v>
      </c>
      <c r="B24" s="30">
        <f t="shared" si="1"/>
        <v>6.0324999999999997E-2</v>
      </c>
      <c r="C24" s="131">
        <f t="shared" si="2"/>
        <v>1.4154037402502432E-2</v>
      </c>
      <c r="D24" s="30">
        <f t="shared" si="3"/>
        <v>0.49984511363285739</v>
      </c>
      <c r="E24" s="14">
        <f t="shared" si="0"/>
        <v>0.22063960722027998</v>
      </c>
      <c r="F24" s="30">
        <f t="shared" si="4"/>
        <v>3.4394310888080937</v>
      </c>
    </row>
    <row r="25" spans="1:6">
      <c r="A25" s="3">
        <f>2.5</f>
        <v>2.5</v>
      </c>
      <c r="B25" s="30">
        <f t="shared" si="1"/>
        <v>6.3500000000000001E-2</v>
      </c>
      <c r="C25" s="131">
        <f t="shared" si="2"/>
        <v>1.5286037862706403E-2</v>
      </c>
      <c r="D25" s="30">
        <f t="shared" si="3"/>
        <v>0.53982133261353227</v>
      </c>
      <c r="E25" s="14">
        <f t="shared" si="0"/>
        <v>0.23828574802166164</v>
      </c>
      <c r="F25" s="30">
        <f t="shared" si="4"/>
        <v>3.7145072006376587</v>
      </c>
    </row>
    <row r="26" spans="1:6">
      <c r="A26" s="3">
        <f>2+5/8</f>
        <v>2.625</v>
      </c>
      <c r="B26" s="30">
        <f t="shared" si="1"/>
        <v>6.6674999999999998E-2</v>
      </c>
      <c r="C26" s="131">
        <f t="shared" si="2"/>
        <v>1.6446704125503406E-2</v>
      </c>
      <c r="D26" s="30">
        <f t="shared" si="3"/>
        <v>0.5808098748590842</v>
      </c>
      <c r="E26" s="14">
        <f t="shared" si="0"/>
        <v>0.25637874446182113</v>
      </c>
      <c r="F26" s="30">
        <f t="shared" si="4"/>
        <v>3.9965491024973305</v>
      </c>
    </row>
    <row r="27" spans="1:6">
      <c r="A27" s="3">
        <f>2.75</f>
        <v>2.75</v>
      </c>
      <c r="B27" s="30">
        <f t="shared" si="1"/>
        <v>6.9849999999999995E-2</v>
      </c>
      <c r="C27" s="131">
        <f t="shared" si="2"/>
        <v>1.763534494025747E-2</v>
      </c>
      <c r="D27" s="30">
        <f t="shared" si="3"/>
        <v>0.62278632908368259</v>
      </c>
      <c r="E27" s="14">
        <f t="shared" si="0"/>
        <v>0.27490782100975808</v>
      </c>
      <c r="F27" s="30">
        <f t="shared" si="4"/>
        <v>4.2853888204825683</v>
      </c>
    </row>
    <row r="28" spans="1:6">
      <c r="A28" s="3">
        <f>2+7/8</f>
        <v>2.875</v>
      </c>
      <c r="B28" s="30">
        <f t="shared" si="1"/>
        <v>7.3025000000000007E-2</v>
      </c>
      <c r="C28" s="131">
        <f t="shared" si="2"/>
        <v>1.8851316783325512E-2</v>
      </c>
      <c r="D28" s="30">
        <f t="shared" si="3"/>
        <v>0.66572796946434465</v>
      </c>
      <c r="E28" s="14">
        <f t="shared" si="0"/>
        <v>0.29386294612466124</v>
      </c>
      <c r="F28" s="30">
        <f t="shared" si="4"/>
        <v>4.5808699783481028</v>
      </c>
    </row>
    <row r="29" spans="1:6">
      <c r="A29" s="3">
        <f>3</f>
        <v>3</v>
      </c>
      <c r="B29" s="30">
        <f t="shared" si="1"/>
        <v>7.6200000000000004E-2</v>
      </c>
      <c r="C29" s="131">
        <f t="shared" si="2"/>
        <v>2.0094018605477645E-2</v>
      </c>
      <c r="D29" s="30">
        <f t="shared" si="3"/>
        <v>0.70961357014783388</v>
      </c>
      <c r="E29" s="14">
        <f t="shared" si="0"/>
        <v>0.3132347503762945</v>
      </c>
      <c r="F29" s="30">
        <f t="shared" si="4"/>
        <v>4.8828465211310714</v>
      </c>
    </row>
  </sheetData>
  <mergeCells count="2">
    <mergeCell ref="C7:D7"/>
    <mergeCell ref="E7:F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81"/>
  <sheetViews>
    <sheetView workbookViewId="0">
      <pane ySplit="6" topLeftCell="A7" activePane="bottomLeft" state="frozen"/>
      <selection pane="bottomLeft" activeCell="A4" sqref="A4"/>
    </sheetView>
  </sheetViews>
  <sheetFormatPr defaultRowHeight="15"/>
  <cols>
    <col min="4" max="5" width="10.140625" bestFit="1" customWidth="1"/>
    <col min="6" max="6" width="11.7109375" bestFit="1" customWidth="1"/>
    <col min="7" max="7" width="10.7109375" bestFit="1" customWidth="1"/>
    <col min="8" max="8" width="11.7109375" bestFit="1" customWidth="1"/>
    <col min="9" max="10" width="11.7109375" customWidth="1"/>
    <col min="11" max="11" width="8.5703125" bestFit="1" customWidth="1"/>
    <col min="12" max="12" width="12" bestFit="1" customWidth="1"/>
    <col min="13" max="13" width="8" bestFit="1" customWidth="1"/>
    <col min="14" max="14" width="9.85546875" customWidth="1"/>
    <col min="15" max="15" width="14.28515625" bestFit="1" customWidth="1"/>
    <col min="16" max="16" width="13" customWidth="1"/>
    <col min="17" max="17" width="14.7109375" bestFit="1" customWidth="1"/>
    <col min="18" max="19" width="11.42578125" customWidth="1"/>
    <col min="20" max="20" width="9.85546875" customWidth="1"/>
    <col min="21" max="21" width="14" bestFit="1" customWidth="1"/>
    <col min="22" max="22" width="11.7109375" bestFit="1" customWidth="1"/>
    <col min="23" max="23" width="8" bestFit="1" customWidth="1"/>
    <col min="24" max="24" width="12.85546875" bestFit="1" customWidth="1"/>
    <col min="25" max="25" width="11" bestFit="1" customWidth="1"/>
    <col min="41" max="41" width="14.28515625" bestFit="1" customWidth="1"/>
    <col min="42" max="43" width="12" bestFit="1" customWidth="1"/>
    <col min="55" max="55" width="9.85546875" bestFit="1" customWidth="1"/>
  </cols>
  <sheetData>
    <row r="1" spans="1:82">
      <c r="A1" t="s">
        <v>370</v>
      </c>
    </row>
    <row r="2" spans="1:82">
      <c r="A2" t="s">
        <v>371</v>
      </c>
    </row>
    <row r="3" spans="1:82">
      <c r="A3" s="259">
        <v>42191</v>
      </c>
      <c r="I3" s="251" t="s">
        <v>369</v>
      </c>
      <c r="J3" s="144"/>
      <c r="K3" s="144"/>
      <c r="L3" s="144"/>
      <c r="M3" s="144"/>
    </row>
    <row r="5" spans="1:82" ht="15.75" thickBot="1"/>
    <row r="6" spans="1:82" ht="18.75" customHeight="1" thickBot="1">
      <c r="A6" s="160" t="s">
        <v>332</v>
      </c>
      <c r="B6" s="161" t="s">
        <v>333</v>
      </c>
      <c r="C6" s="161" t="s">
        <v>259</v>
      </c>
      <c r="D6" s="161" t="s">
        <v>334</v>
      </c>
      <c r="E6" s="161" t="s">
        <v>335</v>
      </c>
      <c r="F6" s="161" t="s">
        <v>336</v>
      </c>
      <c r="G6" s="161" t="s">
        <v>337</v>
      </c>
      <c r="H6" s="161" t="s">
        <v>260</v>
      </c>
      <c r="I6" s="161" t="s">
        <v>261</v>
      </c>
      <c r="J6" s="161" t="s">
        <v>252</v>
      </c>
      <c r="K6" s="161" t="s">
        <v>250</v>
      </c>
      <c r="L6" s="161" t="s">
        <v>338</v>
      </c>
      <c r="M6" s="161" t="s">
        <v>339</v>
      </c>
      <c r="N6" s="161" t="s">
        <v>247</v>
      </c>
      <c r="O6" s="161" t="s">
        <v>340</v>
      </c>
      <c r="P6" s="161" t="s">
        <v>341</v>
      </c>
      <c r="Q6" s="163" t="s">
        <v>342</v>
      </c>
      <c r="R6" s="199"/>
      <c r="S6" s="199"/>
      <c r="T6" s="199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3"/>
      <c r="BB6" s="23"/>
      <c r="BC6" s="23"/>
      <c r="BD6" s="23"/>
      <c r="BE6" s="23"/>
      <c r="BF6" s="23"/>
      <c r="BG6" s="23"/>
      <c r="BH6" s="23"/>
      <c r="BI6" s="23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</row>
    <row r="7" spans="1:82" ht="18.75">
      <c r="A7" s="117">
        <v>1</v>
      </c>
      <c r="B7" s="118">
        <v>39</v>
      </c>
      <c r="C7" s="118">
        <v>49.5</v>
      </c>
      <c r="D7" s="118">
        <v>4</v>
      </c>
      <c r="E7" s="118">
        <v>3</v>
      </c>
      <c r="F7" s="118">
        <f>AVERAGE(D7:E7)</f>
        <v>3.5</v>
      </c>
      <c r="G7" s="247">
        <v>1</v>
      </c>
      <c r="H7" s="118">
        <v>0.187</v>
      </c>
      <c r="I7" s="118">
        <v>17.7</v>
      </c>
      <c r="J7" s="123">
        <f>H7/CONVERT(I7,"cm","m")</f>
        <v>1.0564971751412431</v>
      </c>
      <c r="K7" s="118">
        <f>J7*((CONVERT(C7,"cm","m"))^3)/3</f>
        <v>4.2713256355932205E-2</v>
      </c>
      <c r="L7" s="91">
        <f>PI()*(CONVERT(F7,"mm","m"))^4/64</f>
        <v>7.3661757434268517E-12</v>
      </c>
      <c r="M7" s="91">
        <f>K7/L7</f>
        <v>5798566019.0156393</v>
      </c>
      <c r="N7" s="95">
        <f>M7/10^9</f>
        <v>5.798566019015639</v>
      </c>
      <c r="O7" s="248">
        <f>H7*$S$8/CONVERT(I7,"cm","m")</f>
        <v>1.0564971751412431</v>
      </c>
      <c r="P7" s="249">
        <f>O7*((CONVERT(C7,"cm","m"))^3)/3</f>
        <v>4.2713256355932205E-2</v>
      </c>
      <c r="Q7" s="250">
        <f>P7/L7/10^9</f>
        <v>5.798566019015639</v>
      </c>
      <c r="S7" s="3" t="s">
        <v>343</v>
      </c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3"/>
      <c r="BB7" s="23"/>
      <c r="BC7" s="23"/>
      <c r="BD7" s="23"/>
      <c r="BE7" s="23"/>
      <c r="BF7" s="23"/>
      <c r="BG7" s="23"/>
      <c r="BH7" s="23"/>
      <c r="BI7" s="23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</row>
    <row r="8" spans="1:82">
      <c r="A8" s="81">
        <v>1</v>
      </c>
      <c r="B8" s="82">
        <v>39</v>
      </c>
      <c r="C8" s="82">
        <v>49.5</v>
      </c>
      <c r="D8" s="82">
        <v>4</v>
      </c>
      <c r="E8" s="82">
        <v>3</v>
      </c>
      <c r="F8" s="82">
        <f t="shared" ref="F8:F66" si="0">AVERAGE(D8:E8)</f>
        <v>3.5</v>
      </c>
      <c r="G8" s="200">
        <v>2</v>
      </c>
      <c r="H8" s="82">
        <v>0.114</v>
      </c>
      <c r="I8" s="82">
        <v>17.100000000000001</v>
      </c>
      <c r="J8" s="179">
        <f t="shared" ref="J8:J71" si="1">H8/CONVERT(I8,"cm","m")</f>
        <v>0.66666666666666663</v>
      </c>
      <c r="K8" s="82">
        <f t="shared" ref="K8:K71" si="2">J8*((CONVERT(C8,"cm","m"))^3)/3</f>
        <v>2.6952749999999998E-2</v>
      </c>
      <c r="L8" s="3">
        <f t="shared" ref="L8:L71" si="3">PI()*(CONVERT(F8,"mm","m"))^4/64</f>
        <v>7.3661757434268517E-12</v>
      </c>
      <c r="M8" s="3">
        <f t="shared" ref="M8:M71" si="4">K8/L8</f>
        <v>3658988183.1221676</v>
      </c>
      <c r="N8" s="29">
        <f t="shared" ref="N8:N71" si="5">M8/10^9</f>
        <v>3.6589881831221676</v>
      </c>
      <c r="O8" s="30">
        <f t="shared" ref="O8:O71" si="6">H8*$S$8/CONVERT(I8,"cm","m")</f>
        <v>0.66666666666666663</v>
      </c>
      <c r="P8" s="175">
        <f t="shared" ref="P8:P71" si="7">O8*((CONVERT(C8,"cm","m"))^3)/3</f>
        <v>2.6952749999999998E-2</v>
      </c>
      <c r="Q8" s="26">
        <f t="shared" ref="Q8:Q71" si="8">P8/L8/10^9</f>
        <v>3.6589881831221676</v>
      </c>
      <c r="S8" s="3">
        <v>1</v>
      </c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3"/>
      <c r="BB8" s="23"/>
      <c r="BC8" s="23"/>
      <c r="BD8" s="23"/>
      <c r="BE8" s="23"/>
      <c r="BF8" s="23"/>
      <c r="BG8" s="23"/>
      <c r="BH8" s="23"/>
      <c r="BI8" s="23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</row>
    <row r="9" spans="1:82">
      <c r="A9" s="81">
        <v>1</v>
      </c>
      <c r="B9" s="82">
        <v>39</v>
      </c>
      <c r="C9" s="82">
        <v>49.5</v>
      </c>
      <c r="D9" s="82">
        <v>4</v>
      </c>
      <c r="E9" s="82">
        <v>3</v>
      </c>
      <c r="F9" s="82">
        <f t="shared" si="0"/>
        <v>3.5</v>
      </c>
      <c r="G9" s="200">
        <v>3</v>
      </c>
      <c r="H9" s="82">
        <v>0.26900000000000002</v>
      </c>
      <c r="I9" s="82">
        <v>17.600000000000001</v>
      </c>
      <c r="J9" s="179">
        <f t="shared" si="1"/>
        <v>1.5284090909090908</v>
      </c>
      <c r="K9" s="82">
        <f t="shared" si="2"/>
        <v>6.1792242187499992E-2</v>
      </c>
      <c r="L9" s="3">
        <f t="shared" si="3"/>
        <v>7.3661757434268517E-12</v>
      </c>
      <c r="M9" s="3">
        <f t="shared" si="4"/>
        <v>8388646203.9192867</v>
      </c>
      <c r="N9" s="29">
        <f t="shared" si="5"/>
        <v>8.3886462039192864</v>
      </c>
      <c r="O9" s="30">
        <f t="shared" si="6"/>
        <v>1.5284090909090908</v>
      </c>
      <c r="P9" s="175">
        <f t="shared" si="7"/>
        <v>6.1792242187499992E-2</v>
      </c>
      <c r="Q9" s="26">
        <f t="shared" si="8"/>
        <v>8.3886462039192864</v>
      </c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3"/>
      <c r="BB9" s="23"/>
      <c r="BC9" s="24"/>
      <c r="BD9" s="202"/>
      <c r="BE9" s="191"/>
      <c r="BF9" s="23"/>
      <c r="BG9" s="23"/>
      <c r="BH9" s="23"/>
      <c r="BI9" s="23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</row>
    <row r="10" spans="1:82">
      <c r="A10" s="81">
        <v>1</v>
      </c>
      <c r="B10" s="82">
        <v>39</v>
      </c>
      <c r="C10" s="82">
        <v>49.5</v>
      </c>
      <c r="D10" s="82">
        <v>4</v>
      </c>
      <c r="E10" s="82">
        <v>3</v>
      </c>
      <c r="F10" s="82">
        <f t="shared" si="0"/>
        <v>3.5</v>
      </c>
      <c r="G10" s="200">
        <v>4</v>
      </c>
      <c r="H10" s="82">
        <v>0.14099999999999999</v>
      </c>
      <c r="I10" s="82">
        <v>21.1</v>
      </c>
      <c r="J10" s="179">
        <f t="shared" si="1"/>
        <v>0.66824644549763024</v>
      </c>
      <c r="K10" s="82">
        <f t="shared" si="2"/>
        <v>2.7016619075829376E-2</v>
      </c>
      <c r="L10" s="3">
        <f t="shared" si="3"/>
        <v>7.3661757434268517E-12</v>
      </c>
      <c r="M10" s="3">
        <f t="shared" si="4"/>
        <v>3667658771.2338309</v>
      </c>
      <c r="N10" s="29">
        <f t="shared" si="5"/>
        <v>3.6676587712338309</v>
      </c>
      <c r="O10" s="30">
        <f t="shared" si="6"/>
        <v>0.66824644549763024</v>
      </c>
      <c r="P10" s="175">
        <f t="shared" si="7"/>
        <v>2.7016619075829376E-2</v>
      </c>
      <c r="Q10" s="26">
        <f t="shared" si="8"/>
        <v>3.6676587712338309</v>
      </c>
      <c r="AF10" s="24"/>
      <c r="AG10" s="202"/>
      <c r="AH10" s="191"/>
      <c r="AI10" s="37"/>
      <c r="AJ10" s="203"/>
      <c r="AK10" s="31"/>
      <c r="AL10" s="24"/>
      <c r="AM10" s="202"/>
      <c r="AN10" s="191"/>
      <c r="AO10" s="37"/>
      <c r="AP10" s="37"/>
      <c r="AQ10" s="37"/>
      <c r="AR10" s="24"/>
      <c r="AS10" s="202"/>
      <c r="AT10" s="191"/>
      <c r="AU10" s="24"/>
      <c r="AV10" s="202"/>
      <c r="AW10" s="191"/>
      <c r="AX10" s="24"/>
      <c r="AY10" s="202"/>
      <c r="AZ10" s="191"/>
      <c r="BA10" s="23"/>
      <c r="BB10" s="23"/>
      <c r="BC10" s="24"/>
      <c r="BD10" s="202"/>
      <c r="BE10" s="191"/>
      <c r="BF10" s="23"/>
      <c r="BG10" s="23"/>
      <c r="BH10" s="23"/>
      <c r="BI10" s="23"/>
      <c r="BJ10" s="24"/>
      <c r="BK10" s="202"/>
      <c r="BL10" s="191"/>
      <c r="BM10" s="37"/>
      <c r="BN10" s="203"/>
      <c r="BO10" s="31"/>
      <c r="BP10" s="24"/>
      <c r="BQ10" s="202"/>
      <c r="BR10" s="191"/>
      <c r="BS10" s="37"/>
      <c r="BT10" s="37"/>
      <c r="BU10" s="37"/>
      <c r="BV10" s="24"/>
      <c r="BW10" s="202"/>
      <c r="BX10" s="191"/>
      <c r="BY10" s="24"/>
      <c r="BZ10" s="202"/>
      <c r="CA10" s="191"/>
      <c r="CB10" s="24"/>
      <c r="CC10" s="202"/>
      <c r="CD10" s="191"/>
    </row>
    <row r="11" spans="1:82">
      <c r="A11" s="204">
        <v>2</v>
      </c>
      <c r="B11" s="205">
        <v>37</v>
      </c>
      <c r="C11" s="205">
        <v>50.5</v>
      </c>
      <c r="D11" s="205">
        <v>4</v>
      </c>
      <c r="E11" s="205">
        <v>2.5</v>
      </c>
      <c r="F11" s="205">
        <f t="shared" si="0"/>
        <v>3.25</v>
      </c>
      <c r="G11" s="206">
        <v>1</v>
      </c>
      <c r="H11" s="205">
        <v>0.14499999999999999</v>
      </c>
      <c r="I11" s="205">
        <v>17.7</v>
      </c>
      <c r="J11" s="207">
        <f t="shared" si="1"/>
        <v>0.8192090395480226</v>
      </c>
      <c r="K11" s="205">
        <f t="shared" si="2"/>
        <v>3.5167995527306962E-2</v>
      </c>
      <c r="L11" s="205">
        <f t="shared" si="3"/>
        <v>5.4765031603502276E-12</v>
      </c>
      <c r="M11" s="205">
        <f t="shared" si="4"/>
        <v>6421615125.1262922</v>
      </c>
      <c r="N11" s="252">
        <f t="shared" si="5"/>
        <v>6.4216151251262925</v>
      </c>
      <c r="O11" s="207">
        <f t="shared" si="6"/>
        <v>0.8192090395480226</v>
      </c>
      <c r="P11" s="253">
        <f t="shared" si="7"/>
        <v>3.5167995527306962E-2</v>
      </c>
      <c r="Q11" s="254">
        <f t="shared" si="8"/>
        <v>6.4216151251262925</v>
      </c>
      <c r="AF11" s="24"/>
      <c r="AG11" s="202"/>
      <c r="AH11" s="191"/>
      <c r="AI11" s="37"/>
      <c r="AJ11" s="203"/>
      <c r="AK11" s="31"/>
      <c r="AL11" s="24"/>
      <c r="AM11" s="202"/>
      <c r="AN11" s="191"/>
      <c r="AO11" s="37"/>
      <c r="AP11" s="37"/>
      <c r="AQ11" s="37"/>
      <c r="AR11" s="24"/>
      <c r="AS11" s="202"/>
      <c r="AT11" s="191"/>
      <c r="AU11" s="24"/>
      <c r="AV11" s="202"/>
      <c r="AW11" s="191"/>
      <c r="AX11" s="24"/>
      <c r="AY11" s="202"/>
      <c r="AZ11" s="191"/>
      <c r="BA11" s="23"/>
      <c r="BB11" s="23"/>
      <c r="BC11" s="24"/>
      <c r="BD11" s="202"/>
      <c r="BE11" s="191"/>
      <c r="BF11" s="23"/>
      <c r="BG11" s="23"/>
      <c r="BH11" s="23"/>
      <c r="BI11" s="23"/>
      <c r="BJ11" s="24"/>
      <c r="BK11" s="202"/>
      <c r="BL11" s="191"/>
      <c r="BM11" s="37"/>
      <c r="BN11" s="203"/>
      <c r="BO11" s="31"/>
      <c r="BP11" s="24"/>
      <c r="BQ11" s="202"/>
      <c r="BR11" s="191"/>
      <c r="BS11" s="37"/>
      <c r="BT11" s="37"/>
      <c r="BU11" s="37"/>
      <c r="BV11" s="24"/>
      <c r="BW11" s="202"/>
      <c r="BX11" s="191"/>
      <c r="BY11" s="24"/>
      <c r="BZ11" s="202"/>
      <c r="CA11" s="191"/>
      <c r="CB11" s="24"/>
      <c r="CC11" s="202"/>
      <c r="CD11" s="191"/>
    </row>
    <row r="12" spans="1:82">
      <c r="A12" s="204">
        <v>2</v>
      </c>
      <c r="B12" s="205">
        <v>37</v>
      </c>
      <c r="C12" s="205">
        <v>50.5</v>
      </c>
      <c r="D12" s="205">
        <v>4</v>
      </c>
      <c r="E12" s="205">
        <v>2.5</v>
      </c>
      <c r="F12" s="205">
        <f t="shared" si="0"/>
        <v>3.25</v>
      </c>
      <c r="G12" s="206">
        <v>2</v>
      </c>
      <c r="H12" s="205">
        <v>3.1E-2</v>
      </c>
      <c r="I12" s="205">
        <v>21.1</v>
      </c>
      <c r="J12" s="207">
        <f t="shared" si="1"/>
        <v>0.14691943127962084</v>
      </c>
      <c r="K12" s="205">
        <f t="shared" si="2"/>
        <v>6.3071348736176919E-3</v>
      </c>
      <c r="L12" s="205">
        <f t="shared" si="3"/>
        <v>5.4765031603502276E-12</v>
      </c>
      <c r="M12" s="205">
        <f t="shared" si="4"/>
        <v>1151671913.4357889</v>
      </c>
      <c r="N12" s="252">
        <f t="shared" si="5"/>
        <v>1.1516719134357889</v>
      </c>
      <c r="O12" s="207">
        <f t="shared" si="6"/>
        <v>0.14691943127962084</v>
      </c>
      <c r="P12" s="253">
        <f t="shared" si="7"/>
        <v>6.3071348736176919E-3</v>
      </c>
      <c r="Q12" s="254">
        <f t="shared" si="8"/>
        <v>1.1516719134357889</v>
      </c>
      <c r="AF12" s="24"/>
      <c r="AG12" s="202"/>
      <c r="AH12" s="191"/>
      <c r="AI12" s="37"/>
      <c r="AJ12" s="203"/>
      <c r="AK12" s="31"/>
      <c r="AL12" s="24"/>
      <c r="AM12" s="202"/>
      <c r="AN12" s="191"/>
      <c r="AO12" s="37"/>
      <c r="AP12" s="37"/>
      <c r="AQ12" s="37"/>
      <c r="AR12" s="24"/>
      <c r="AS12" s="202"/>
      <c r="AT12" s="191"/>
      <c r="AU12" s="24"/>
      <c r="AV12" s="202"/>
      <c r="AW12" s="191"/>
      <c r="AX12" s="24"/>
      <c r="AY12" s="202"/>
      <c r="AZ12" s="191"/>
      <c r="BA12" s="23"/>
      <c r="BB12" s="23"/>
      <c r="BC12" s="24"/>
      <c r="BD12" s="24"/>
      <c r="BE12" s="191"/>
      <c r="BF12" s="23"/>
      <c r="BG12" s="23"/>
      <c r="BH12" s="23"/>
      <c r="BI12" s="23"/>
      <c r="BJ12" s="24"/>
      <c r="BK12" s="202"/>
      <c r="BL12" s="191"/>
      <c r="BM12" s="37"/>
      <c r="BN12" s="203"/>
      <c r="BO12" s="31"/>
      <c r="BP12" s="24"/>
      <c r="BQ12" s="202"/>
      <c r="BR12" s="191"/>
      <c r="BS12" s="37"/>
      <c r="BT12" s="37"/>
      <c r="BU12" s="37"/>
      <c r="BV12" s="24"/>
      <c r="BW12" s="202"/>
      <c r="BX12" s="191"/>
      <c r="BY12" s="24"/>
      <c r="BZ12" s="202"/>
      <c r="CA12" s="191"/>
      <c r="CB12" s="24"/>
      <c r="CC12" s="202"/>
      <c r="CD12" s="191"/>
    </row>
    <row r="13" spans="1:82">
      <c r="A13" s="204">
        <v>2</v>
      </c>
      <c r="B13" s="205">
        <v>37</v>
      </c>
      <c r="C13" s="205">
        <v>50.5</v>
      </c>
      <c r="D13" s="205">
        <v>4</v>
      </c>
      <c r="E13" s="205">
        <v>2.5</v>
      </c>
      <c r="F13" s="205">
        <f t="shared" si="0"/>
        <v>3.25</v>
      </c>
      <c r="G13" s="206">
        <v>3</v>
      </c>
      <c r="H13" s="205">
        <v>0.111</v>
      </c>
      <c r="I13" s="205">
        <v>17.3</v>
      </c>
      <c r="J13" s="207">
        <f t="shared" si="1"/>
        <v>0.64161849710982655</v>
      </c>
      <c r="K13" s="205">
        <f t="shared" si="2"/>
        <v>2.7544174132947973E-2</v>
      </c>
      <c r="L13" s="205">
        <f t="shared" si="3"/>
        <v>5.4765031603502276E-12</v>
      </c>
      <c r="M13" s="205">
        <f t="shared" si="4"/>
        <v>5029518531.5270586</v>
      </c>
      <c r="N13" s="252">
        <f t="shared" si="5"/>
        <v>5.0295185315270583</v>
      </c>
      <c r="O13" s="207">
        <f t="shared" si="6"/>
        <v>0.64161849710982655</v>
      </c>
      <c r="P13" s="253">
        <f t="shared" si="7"/>
        <v>2.7544174132947973E-2</v>
      </c>
      <c r="Q13" s="254">
        <f t="shared" si="8"/>
        <v>5.0295185315270583</v>
      </c>
      <c r="AF13" s="24"/>
      <c r="AG13" s="202"/>
      <c r="AH13" s="191"/>
      <c r="AI13" s="37"/>
      <c r="AJ13" s="203"/>
      <c r="AK13" s="31"/>
      <c r="AL13" s="24"/>
      <c r="AM13" s="202"/>
      <c r="AN13" s="191"/>
      <c r="AO13" s="37"/>
      <c r="AP13" s="37"/>
      <c r="AQ13" s="37"/>
      <c r="AR13" s="24"/>
      <c r="AS13" s="202"/>
      <c r="AT13" s="191"/>
      <c r="AU13" s="24"/>
      <c r="AV13" s="202"/>
      <c r="AW13" s="191"/>
      <c r="AX13" s="24"/>
      <c r="AY13" s="202"/>
      <c r="AZ13" s="191"/>
      <c r="BA13" s="23"/>
      <c r="BB13" s="23"/>
      <c r="BC13" s="24"/>
      <c r="BD13" s="202"/>
      <c r="BE13" s="191"/>
      <c r="BF13" s="23"/>
      <c r="BG13" s="23"/>
      <c r="BH13" s="23"/>
      <c r="BI13" s="23"/>
      <c r="BJ13" s="24"/>
      <c r="BK13" s="202"/>
      <c r="BL13" s="191"/>
      <c r="BM13" s="37"/>
      <c r="BN13" s="203"/>
      <c r="BO13" s="31"/>
      <c r="BP13" s="24"/>
      <c r="BQ13" s="202"/>
      <c r="BR13" s="191"/>
      <c r="BS13" s="37"/>
      <c r="BT13" s="37"/>
      <c r="BU13" s="37"/>
      <c r="BV13" s="24"/>
      <c r="BW13" s="202"/>
      <c r="BX13" s="191"/>
      <c r="BY13" s="24"/>
      <c r="BZ13" s="202"/>
      <c r="CA13" s="191"/>
      <c r="CB13" s="24"/>
      <c r="CC13" s="202"/>
      <c r="CD13" s="191"/>
    </row>
    <row r="14" spans="1:82">
      <c r="A14" s="204">
        <v>2</v>
      </c>
      <c r="B14" s="205">
        <v>37</v>
      </c>
      <c r="C14" s="205">
        <v>50.5</v>
      </c>
      <c r="D14" s="205">
        <v>4</v>
      </c>
      <c r="E14" s="205">
        <v>2.5</v>
      </c>
      <c r="F14" s="205">
        <f t="shared" si="0"/>
        <v>3.25</v>
      </c>
      <c r="G14" s="206">
        <v>4</v>
      </c>
      <c r="H14" s="205">
        <v>0.14199999999999999</v>
      </c>
      <c r="I14" s="205">
        <v>19.7</v>
      </c>
      <c r="J14" s="207">
        <f t="shared" si="1"/>
        <v>0.72081218274111669</v>
      </c>
      <c r="K14" s="205">
        <f t="shared" si="2"/>
        <v>3.0943896362098131E-2</v>
      </c>
      <c r="L14" s="205">
        <f t="shared" si="3"/>
        <v>5.4765031603502276E-12</v>
      </c>
      <c r="M14" s="205">
        <f t="shared" si="4"/>
        <v>5650301927.3560028</v>
      </c>
      <c r="N14" s="252">
        <f t="shared" si="5"/>
        <v>5.6503019273560025</v>
      </c>
      <c r="O14" s="207">
        <f t="shared" si="6"/>
        <v>0.72081218274111669</v>
      </c>
      <c r="P14" s="253">
        <f t="shared" si="7"/>
        <v>3.0943896362098131E-2</v>
      </c>
      <c r="Q14" s="254">
        <f t="shared" si="8"/>
        <v>5.6503019273560025</v>
      </c>
      <c r="AF14" s="24"/>
      <c r="AG14" s="202"/>
      <c r="AH14" s="191"/>
      <c r="AI14" s="37"/>
      <c r="AJ14" s="203"/>
      <c r="AK14" s="31"/>
      <c r="AL14" s="24"/>
      <c r="AM14" s="202"/>
      <c r="AN14" s="191"/>
      <c r="AO14" s="37"/>
      <c r="AP14" s="37"/>
      <c r="AQ14" s="37"/>
      <c r="AR14" s="24"/>
      <c r="AS14" s="202"/>
      <c r="AT14" s="191"/>
      <c r="AU14" s="24"/>
      <c r="AV14" s="202"/>
      <c r="AW14" s="191"/>
      <c r="AX14" s="24"/>
      <c r="AY14" s="202"/>
      <c r="AZ14" s="191"/>
      <c r="BA14" s="23"/>
      <c r="BB14" s="23"/>
      <c r="BC14" s="24"/>
      <c r="BD14" s="202"/>
      <c r="BE14" s="191"/>
      <c r="BF14" s="23"/>
      <c r="BG14" s="23"/>
      <c r="BH14" s="23"/>
      <c r="BI14" s="23"/>
      <c r="BJ14" s="24"/>
      <c r="BK14" s="202"/>
      <c r="BL14" s="191"/>
      <c r="BM14" s="37"/>
      <c r="BN14" s="203"/>
      <c r="BO14" s="31"/>
      <c r="BP14" s="24"/>
      <c r="BQ14" s="202"/>
      <c r="BR14" s="191"/>
      <c r="BS14" s="37"/>
      <c r="BT14" s="37"/>
      <c r="BU14" s="37"/>
      <c r="BV14" s="24"/>
      <c r="BW14" s="202"/>
      <c r="BX14" s="191"/>
      <c r="BY14" s="24"/>
      <c r="BZ14" s="202"/>
      <c r="CA14" s="191"/>
      <c r="CB14" s="24"/>
      <c r="CC14" s="202"/>
      <c r="CD14" s="191"/>
    </row>
    <row r="15" spans="1:82">
      <c r="A15" s="81">
        <v>3</v>
      </c>
      <c r="B15" s="82">
        <v>41</v>
      </c>
      <c r="C15" s="82">
        <v>68.2</v>
      </c>
      <c r="D15" s="82">
        <v>3.5</v>
      </c>
      <c r="E15" s="82">
        <v>3</v>
      </c>
      <c r="F15" s="82">
        <f t="shared" si="0"/>
        <v>3.25</v>
      </c>
      <c r="G15" s="200">
        <v>1</v>
      </c>
      <c r="H15" s="82">
        <v>8.4000000000000005E-2</v>
      </c>
      <c r="I15" s="82">
        <v>24.6</v>
      </c>
      <c r="J15" s="179">
        <f t="shared" si="1"/>
        <v>0.34146341463414631</v>
      </c>
      <c r="K15" s="82">
        <f t="shared" si="2"/>
        <v>3.610572318699188E-2</v>
      </c>
      <c r="L15" s="3">
        <f t="shared" si="3"/>
        <v>5.4765031603502276E-12</v>
      </c>
      <c r="M15" s="3">
        <f t="shared" si="4"/>
        <v>6592842573.0485439</v>
      </c>
      <c r="N15" s="29">
        <f t="shared" si="5"/>
        <v>6.5928425730485438</v>
      </c>
      <c r="O15" s="30">
        <f t="shared" si="6"/>
        <v>0.34146341463414631</v>
      </c>
      <c r="P15" s="175">
        <f t="shared" si="7"/>
        <v>3.610572318699188E-2</v>
      </c>
      <c r="Q15" s="26">
        <f t="shared" si="8"/>
        <v>6.5928425730485438</v>
      </c>
      <c r="AF15" s="24"/>
      <c r="AG15" s="202"/>
      <c r="AH15" s="191"/>
      <c r="AI15" s="37"/>
      <c r="AJ15" s="203"/>
      <c r="AK15" s="31"/>
      <c r="AL15" s="24"/>
      <c r="AM15" s="202"/>
      <c r="AN15" s="191"/>
      <c r="AO15" s="37"/>
      <c r="AP15" s="37"/>
      <c r="AQ15" s="37"/>
      <c r="AR15" s="24"/>
      <c r="AS15" s="202"/>
      <c r="AT15" s="191"/>
      <c r="AU15" s="24"/>
      <c r="AV15" s="202"/>
      <c r="AW15" s="191"/>
      <c r="AX15" s="24"/>
      <c r="AY15" s="202"/>
      <c r="AZ15" s="191"/>
      <c r="BA15" s="23"/>
      <c r="BB15" s="23"/>
      <c r="BC15" s="24"/>
      <c r="BD15" s="202"/>
      <c r="BE15" s="191"/>
      <c r="BF15" s="23"/>
      <c r="BG15" s="23"/>
      <c r="BH15" s="23"/>
      <c r="BI15" s="23"/>
      <c r="BJ15" s="24"/>
      <c r="BK15" s="202"/>
      <c r="BL15" s="191"/>
      <c r="BM15" s="37"/>
      <c r="BN15" s="203"/>
      <c r="BO15" s="31"/>
      <c r="BP15" s="24"/>
      <c r="BQ15" s="202"/>
      <c r="BR15" s="191"/>
      <c r="BS15" s="37"/>
      <c r="BT15" s="37"/>
      <c r="BU15" s="37"/>
      <c r="BV15" s="24"/>
      <c r="BW15" s="202"/>
      <c r="BX15" s="191"/>
      <c r="BY15" s="24"/>
      <c r="BZ15" s="202"/>
      <c r="CA15" s="191"/>
      <c r="CB15" s="24"/>
      <c r="CC15" s="202"/>
      <c r="CD15" s="191"/>
    </row>
    <row r="16" spans="1:82">
      <c r="A16" s="81">
        <v>3</v>
      </c>
      <c r="B16" s="82">
        <v>41</v>
      </c>
      <c r="C16" s="82">
        <v>68.2</v>
      </c>
      <c r="D16" s="82">
        <v>3.5</v>
      </c>
      <c r="E16" s="82">
        <v>3</v>
      </c>
      <c r="F16" s="82">
        <f t="shared" si="0"/>
        <v>3.25</v>
      </c>
      <c r="G16" s="200">
        <v>2</v>
      </c>
      <c r="H16" s="82">
        <v>6.8000000000000005E-2</v>
      </c>
      <c r="I16" s="82">
        <v>24.8</v>
      </c>
      <c r="J16" s="179">
        <f t="shared" si="1"/>
        <v>0.27419354838709675</v>
      </c>
      <c r="K16" s="82">
        <f t="shared" si="2"/>
        <v>2.8992729333333338E-2</v>
      </c>
      <c r="L16" s="3">
        <f t="shared" si="3"/>
        <v>5.4765031603502276E-12</v>
      </c>
      <c r="M16" s="3">
        <f t="shared" si="4"/>
        <v>5294022204.3949709</v>
      </c>
      <c r="N16" s="29">
        <f t="shared" si="5"/>
        <v>5.2940222043949712</v>
      </c>
      <c r="O16" s="30">
        <f t="shared" si="6"/>
        <v>0.27419354838709675</v>
      </c>
      <c r="P16" s="175">
        <f t="shared" si="7"/>
        <v>2.8992729333333338E-2</v>
      </c>
      <c r="Q16" s="26">
        <f t="shared" si="8"/>
        <v>5.2940222043949712</v>
      </c>
      <c r="AF16" s="24"/>
      <c r="AG16" s="202"/>
      <c r="AH16" s="191"/>
      <c r="AI16" s="37"/>
      <c r="AJ16" s="203"/>
      <c r="AK16" s="31"/>
      <c r="AL16" s="24"/>
      <c r="AM16" s="202"/>
      <c r="AN16" s="191"/>
      <c r="AO16" s="37"/>
      <c r="AP16" s="37"/>
      <c r="AQ16" s="37"/>
      <c r="AR16" s="24"/>
      <c r="AS16" s="202"/>
      <c r="AT16" s="191"/>
      <c r="AU16" s="24"/>
      <c r="AV16" s="202"/>
      <c r="AW16" s="191"/>
      <c r="AX16" s="24"/>
      <c r="AY16" s="202"/>
      <c r="AZ16" s="191"/>
      <c r="BA16" s="23"/>
      <c r="BB16" s="23"/>
      <c r="BC16" s="23"/>
      <c r="BD16" s="23"/>
      <c r="BE16" s="23"/>
      <c r="BF16" s="23"/>
      <c r="BG16" s="23"/>
      <c r="BH16" s="23"/>
      <c r="BI16" s="23"/>
      <c r="BJ16" s="24"/>
      <c r="BK16" s="202"/>
      <c r="BL16" s="191"/>
      <c r="BM16" s="37"/>
      <c r="BN16" s="203"/>
      <c r="BO16" s="31"/>
      <c r="BP16" s="24"/>
      <c r="BQ16" s="202"/>
      <c r="BR16" s="191"/>
      <c r="BS16" s="37"/>
      <c r="BT16" s="37"/>
      <c r="BU16" s="37"/>
      <c r="BV16" s="24"/>
      <c r="BW16" s="202"/>
      <c r="BX16" s="191"/>
      <c r="BY16" s="24"/>
      <c r="BZ16" s="202"/>
      <c r="CA16" s="191"/>
      <c r="CB16" s="24"/>
      <c r="CC16" s="202"/>
      <c r="CD16" s="191"/>
    </row>
    <row r="17" spans="1:82" ht="18">
      <c r="A17" s="81">
        <v>3</v>
      </c>
      <c r="B17" s="82">
        <v>41</v>
      </c>
      <c r="C17" s="82">
        <v>68.2</v>
      </c>
      <c r="D17" s="82">
        <v>3.5</v>
      </c>
      <c r="E17" s="82">
        <v>3</v>
      </c>
      <c r="F17" s="82">
        <f t="shared" si="0"/>
        <v>3.25</v>
      </c>
      <c r="G17" s="200">
        <v>3</v>
      </c>
      <c r="H17" s="82">
        <v>0.13100000000000001</v>
      </c>
      <c r="I17" s="82">
        <v>26.8</v>
      </c>
      <c r="J17" s="179">
        <f t="shared" si="1"/>
        <v>0.4888059701492537</v>
      </c>
      <c r="K17" s="82">
        <f t="shared" si="2"/>
        <v>5.1685458218905488E-2</v>
      </c>
      <c r="L17" s="3">
        <f t="shared" si="3"/>
        <v>5.4765031603502276E-12</v>
      </c>
      <c r="M17" s="3">
        <f t="shared" si="4"/>
        <v>9437675229.1694374</v>
      </c>
      <c r="N17" s="29">
        <f t="shared" si="5"/>
        <v>9.4376752291694377</v>
      </c>
      <c r="O17" s="30">
        <f t="shared" si="6"/>
        <v>0.4888059701492537</v>
      </c>
      <c r="P17" s="175">
        <f t="shared" si="7"/>
        <v>5.1685458218905488E-2</v>
      </c>
      <c r="Q17" s="26">
        <f t="shared" si="8"/>
        <v>9.4376752291694377</v>
      </c>
      <c r="U17" s="20" t="s">
        <v>344</v>
      </c>
      <c r="V17" s="29">
        <f>AVERAGE(F7:F246)</f>
        <v>3.1875</v>
      </c>
      <c r="AF17" s="24"/>
      <c r="AG17" s="202"/>
      <c r="AH17" s="191"/>
      <c r="AI17" s="37"/>
      <c r="AJ17" s="203"/>
      <c r="AK17" s="31"/>
      <c r="AL17" s="24"/>
      <c r="AM17" s="202"/>
      <c r="AN17" s="191"/>
      <c r="AO17" s="37"/>
      <c r="AP17" s="37"/>
      <c r="AQ17" s="37"/>
      <c r="AR17" s="24"/>
      <c r="AS17" s="202"/>
      <c r="AT17" s="191"/>
      <c r="AU17" s="24"/>
      <c r="AV17" s="202"/>
      <c r="AW17" s="191"/>
      <c r="AX17" s="24"/>
      <c r="AY17" s="202"/>
      <c r="AZ17" s="191"/>
      <c r="BA17" s="23"/>
      <c r="BB17" s="23"/>
      <c r="BC17" s="23"/>
      <c r="BD17" s="23"/>
      <c r="BE17" s="23"/>
      <c r="BF17" s="23"/>
      <c r="BG17" s="23"/>
      <c r="BH17" s="23"/>
      <c r="BI17" s="23"/>
      <c r="BJ17" s="24"/>
      <c r="BK17" s="202"/>
      <c r="BL17" s="191"/>
      <c r="BM17" s="37"/>
      <c r="BN17" s="203"/>
      <c r="BO17" s="31"/>
      <c r="BP17" s="24"/>
      <c r="BQ17" s="202"/>
      <c r="BR17" s="191"/>
      <c r="BS17" s="37"/>
      <c r="BT17" s="37"/>
      <c r="BU17" s="37"/>
      <c r="BV17" s="24"/>
      <c r="BW17" s="202"/>
      <c r="BX17" s="191"/>
      <c r="BY17" s="24"/>
      <c r="BZ17" s="202"/>
      <c r="CA17" s="191"/>
      <c r="CB17" s="24"/>
      <c r="CC17" s="202"/>
      <c r="CD17" s="191"/>
    </row>
    <row r="18" spans="1:82">
      <c r="A18" s="81">
        <v>3</v>
      </c>
      <c r="B18" s="82">
        <v>41</v>
      </c>
      <c r="C18" s="82">
        <v>68.2</v>
      </c>
      <c r="D18" s="82">
        <v>3.5</v>
      </c>
      <c r="E18" s="82">
        <v>3</v>
      </c>
      <c r="F18" s="82">
        <f t="shared" si="0"/>
        <v>3.25</v>
      </c>
      <c r="G18" s="200">
        <v>4</v>
      </c>
      <c r="H18" s="82">
        <v>9.7000000000000003E-2</v>
      </c>
      <c r="I18" s="82">
        <v>26.9</v>
      </c>
      <c r="J18" s="179">
        <f t="shared" si="1"/>
        <v>0.36059479553903345</v>
      </c>
      <c r="K18" s="82">
        <f t="shared" si="2"/>
        <v>3.8128640763320953E-2</v>
      </c>
      <c r="L18" s="3">
        <f t="shared" si="3"/>
        <v>5.4765031603502276E-12</v>
      </c>
      <c r="M18" s="3">
        <f t="shared" si="4"/>
        <v>6962223821.8306055</v>
      </c>
      <c r="N18" s="29">
        <f t="shared" si="5"/>
        <v>6.9622238218306052</v>
      </c>
      <c r="O18" s="30">
        <f t="shared" si="6"/>
        <v>0.36059479553903345</v>
      </c>
      <c r="P18" s="175">
        <f t="shared" si="7"/>
        <v>3.8128640763320953E-2</v>
      </c>
      <c r="Q18" s="26">
        <f t="shared" si="8"/>
        <v>6.9622238218306052</v>
      </c>
      <c r="AF18" s="24"/>
      <c r="AG18" s="202"/>
      <c r="AH18" s="191"/>
      <c r="AI18" s="37"/>
      <c r="AJ18" s="203"/>
      <c r="AK18" s="31"/>
      <c r="AL18" s="24"/>
      <c r="AM18" s="202"/>
      <c r="AN18" s="191"/>
      <c r="AO18" s="37"/>
      <c r="AP18" s="37"/>
      <c r="AQ18" s="37"/>
      <c r="AR18" s="24"/>
      <c r="AS18" s="202"/>
      <c r="AT18" s="191"/>
      <c r="AU18" s="24"/>
      <c r="AV18" s="202"/>
      <c r="AW18" s="191"/>
      <c r="AX18" s="24"/>
      <c r="AY18" s="202"/>
      <c r="AZ18" s="191"/>
      <c r="BA18" s="23"/>
      <c r="BB18" s="23"/>
      <c r="BC18" s="23"/>
      <c r="BD18" s="23"/>
      <c r="BE18" s="23"/>
      <c r="BF18" s="23"/>
      <c r="BG18" s="23"/>
      <c r="BH18" s="23"/>
      <c r="BI18" s="23"/>
      <c r="BJ18" s="24"/>
      <c r="BK18" s="202"/>
      <c r="BL18" s="191"/>
      <c r="BM18" s="37"/>
      <c r="BN18" s="203"/>
      <c r="BO18" s="31"/>
      <c r="BP18" s="24"/>
      <c r="BQ18" s="202"/>
      <c r="BR18" s="191"/>
      <c r="BS18" s="37"/>
      <c r="BT18" s="37"/>
      <c r="BU18" s="37"/>
      <c r="BV18" s="24"/>
      <c r="BW18" s="202"/>
      <c r="BX18" s="191"/>
      <c r="BY18" s="24"/>
      <c r="BZ18" s="202"/>
      <c r="CA18" s="191"/>
      <c r="CB18" s="24"/>
      <c r="CC18" s="202"/>
      <c r="CD18" s="191"/>
    </row>
    <row r="19" spans="1:82" ht="18.75">
      <c r="A19" s="204">
        <v>4</v>
      </c>
      <c r="B19" s="205">
        <v>31.4</v>
      </c>
      <c r="C19" s="205">
        <v>52</v>
      </c>
      <c r="D19" s="205">
        <v>4</v>
      </c>
      <c r="E19" s="205">
        <v>2.5</v>
      </c>
      <c r="F19" s="205">
        <f t="shared" si="0"/>
        <v>3.25</v>
      </c>
      <c r="G19" s="206">
        <v>1</v>
      </c>
      <c r="H19" s="205">
        <v>0.14599999999999999</v>
      </c>
      <c r="I19" s="205">
        <v>19.399999999999999</v>
      </c>
      <c r="J19" s="207">
        <f t="shared" si="1"/>
        <v>0.75257731958762886</v>
      </c>
      <c r="K19" s="205">
        <f t="shared" si="2"/>
        <v>3.5272797250859113E-2</v>
      </c>
      <c r="L19" s="205">
        <f t="shared" si="3"/>
        <v>5.4765031603502276E-12</v>
      </c>
      <c r="M19" s="205">
        <f t="shared" si="4"/>
        <v>6440751738.4877005</v>
      </c>
      <c r="N19" s="252">
        <f t="shared" si="5"/>
        <v>6.4407517384877009</v>
      </c>
      <c r="O19" s="207">
        <f t="shared" si="6"/>
        <v>0.75257731958762886</v>
      </c>
      <c r="P19" s="253">
        <f t="shared" si="7"/>
        <v>3.5272797250859113E-2</v>
      </c>
      <c r="Q19" s="254">
        <f t="shared" si="8"/>
        <v>6.4407517384877009</v>
      </c>
      <c r="U19" s="13" t="s">
        <v>345</v>
      </c>
      <c r="V19" s="208">
        <f>AVERAGE(M18:M246)</f>
        <v>5834092616.5066748</v>
      </c>
      <c r="X19" s="1"/>
      <c r="Y19" s="1"/>
      <c r="AF19" s="24"/>
      <c r="AG19" s="202"/>
      <c r="AH19" s="191"/>
      <c r="AI19" s="37"/>
      <c r="AJ19" s="203"/>
      <c r="AK19" s="31"/>
      <c r="AL19" s="24"/>
      <c r="AM19" s="202"/>
      <c r="AN19" s="191"/>
      <c r="AO19" s="37"/>
      <c r="AP19" s="37"/>
      <c r="AQ19" s="37"/>
      <c r="AR19" s="24"/>
      <c r="AS19" s="202"/>
      <c r="AT19" s="191"/>
      <c r="AU19" s="24"/>
      <c r="AV19" s="202"/>
      <c r="AW19" s="191"/>
      <c r="AX19" s="24"/>
      <c r="AY19" s="202"/>
      <c r="AZ19" s="191"/>
      <c r="BA19" s="23"/>
      <c r="BB19" s="23"/>
      <c r="BC19" s="23"/>
      <c r="BD19" s="23"/>
      <c r="BE19" s="23"/>
      <c r="BF19" s="23"/>
      <c r="BG19" s="23"/>
      <c r="BH19" s="23"/>
      <c r="BI19" s="23"/>
      <c r="BJ19" s="24"/>
      <c r="BK19" s="202"/>
      <c r="BL19" s="191"/>
      <c r="BM19" s="37"/>
      <c r="BN19" s="203"/>
      <c r="BO19" s="31"/>
      <c r="BP19" s="24"/>
      <c r="BQ19" s="202"/>
      <c r="BR19" s="191"/>
      <c r="BS19" s="37"/>
      <c r="BT19" s="37"/>
      <c r="BU19" s="37"/>
      <c r="BV19" s="24"/>
      <c r="BW19" s="202"/>
      <c r="BX19" s="191"/>
      <c r="BY19" s="24"/>
      <c r="BZ19" s="202"/>
      <c r="CA19" s="191"/>
      <c r="CB19" s="24"/>
      <c r="CC19" s="202"/>
      <c r="CD19" s="191"/>
    </row>
    <row r="20" spans="1:82" ht="18">
      <c r="A20" s="204">
        <v>4</v>
      </c>
      <c r="B20" s="205">
        <v>31.4</v>
      </c>
      <c r="C20" s="205">
        <v>52</v>
      </c>
      <c r="D20" s="205">
        <v>4</v>
      </c>
      <c r="E20" s="205">
        <v>2.5</v>
      </c>
      <c r="F20" s="205">
        <f t="shared" si="0"/>
        <v>3.25</v>
      </c>
      <c r="G20" s="206">
        <v>2</v>
      </c>
      <c r="H20" s="205">
        <v>0.1</v>
      </c>
      <c r="I20" s="205">
        <v>17.2</v>
      </c>
      <c r="J20" s="207">
        <f t="shared" si="1"/>
        <v>0.58139534883720934</v>
      </c>
      <c r="K20" s="205">
        <f t="shared" si="2"/>
        <v>2.7249612403100778E-2</v>
      </c>
      <c r="L20" s="205">
        <f t="shared" si="3"/>
        <v>5.4765031603502276E-12</v>
      </c>
      <c r="M20" s="205">
        <f t="shared" si="4"/>
        <v>4975732069.3955631</v>
      </c>
      <c r="N20" s="252">
        <f t="shared" si="5"/>
        <v>4.9757320693955629</v>
      </c>
      <c r="O20" s="207">
        <f t="shared" si="6"/>
        <v>0.58139534883720934</v>
      </c>
      <c r="P20" s="253">
        <f t="shared" si="7"/>
        <v>2.7249612403100778E-2</v>
      </c>
      <c r="Q20" s="254">
        <f t="shared" si="8"/>
        <v>4.9757320693955629</v>
      </c>
      <c r="U20" s="13" t="s">
        <v>346</v>
      </c>
      <c r="V20" s="30">
        <f>AVERAGE(N7:N246)</f>
        <v>5.821244649422411</v>
      </c>
      <c r="AF20" s="24"/>
      <c r="AG20" s="202"/>
      <c r="AH20" s="191"/>
      <c r="AI20" s="37"/>
      <c r="AJ20" s="203"/>
      <c r="AK20" s="31"/>
      <c r="AL20" s="24"/>
      <c r="AM20" s="202"/>
      <c r="AN20" s="191"/>
      <c r="AO20" s="37"/>
      <c r="AP20" s="37"/>
      <c r="AQ20" s="37"/>
      <c r="AR20" s="24"/>
      <c r="AS20" s="202"/>
      <c r="AT20" s="191"/>
      <c r="AU20" s="24"/>
      <c r="AV20" s="202"/>
      <c r="AW20" s="191"/>
      <c r="AX20" s="24"/>
      <c r="AY20" s="202"/>
      <c r="AZ20" s="191"/>
      <c r="BA20" s="23"/>
      <c r="BB20" s="23"/>
      <c r="BC20" s="23"/>
      <c r="BD20" s="23"/>
      <c r="BE20" s="23"/>
      <c r="BF20" s="23"/>
      <c r="BG20" s="23"/>
      <c r="BH20" s="23"/>
      <c r="BI20" s="23"/>
      <c r="BJ20" s="24"/>
      <c r="BK20" s="202"/>
      <c r="BL20" s="191"/>
      <c r="BM20" s="37"/>
      <c r="BN20" s="203"/>
      <c r="BO20" s="31"/>
      <c r="BP20" s="24"/>
      <c r="BQ20" s="202"/>
      <c r="BR20" s="191"/>
      <c r="BS20" s="37"/>
      <c r="BT20" s="37"/>
      <c r="BU20" s="37"/>
      <c r="BV20" s="24"/>
      <c r="BW20" s="202"/>
      <c r="BX20" s="191"/>
      <c r="BY20" s="24"/>
      <c r="BZ20" s="202"/>
      <c r="CA20" s="191"/>
      <c r="CB20" s="24"/>
      <c r="CC20" s="202"/>
      <c r="CD20" s="191"/>
    </row>
    <row r="21" spans="1:82">
      <c r="A21" s="204">
        <v>4</v>
      </c>
      <c r="B21" s="205">
        <v>31.4</v>
      </c>
      <c r="C21" s="205">
        <v>52</v>
      </c>
      <c r="D21" s="205">
        <v>4</v>
      </c>
      <c r="E21" s="205">
        <v>2.5</v>
      </c>
      <c r="F21" s="205">
        <f t="shared" si="0"/>
        <v>3.25</v>
      </c>
      <c r="G21" s="206">
        <v>3</v>
      </c>
      <c r="H21" s="205">
        <v>0.123</v>
      </c>
      <c r="I21" s="205">
        <v>20.9</v>
      </c>
      <c r="J21" s="207">
        <f t="shared" si="1"/>
        <v>0.58851674641148322</v>
      </c>
      <c r="K21" s="205">
        <f t="shared" si="2"/>
        <v>2.7583387559808614E-2</v>
      </c>
      <c r="L21" s="205">
        <f t="shared" si="3"/>
        <v>5.4765031603502276E-12</v>
      </c>
      <c r="M21" s="205">
        <f t="shared" si="4"/>
        <v>5036678835.4130392</v>
      </c>
      <c r="N21" s="252">
        <f t="shared" si="5"/>
        <v>5.0366788354130394</v>
      </c>
      <c r="O21" s="207">
        <f t="shared" si="6"/>
        <v>0.58851674641148322</v>
      </c>
      <c r="P21" s="253">
        <f t="shared" si="7"/>
        <v>2.7583387559808614E-2</v>
      </c>
      <c r="Q21" s="254">
        <f t="shared" si="8"/>
        <v>5.0366788354130394</v>
      </c>
      <c r="U21" s="13" t="s">
        <v>347</v>
      </c>
      <c r="V21" s="30">
        <f>_xlfn.STDEV.S(N13:N246)</f>
        <v>2.8826900268735773</v>
      </c>
      <c r="AF21" s="24"/>
      <c r="AG21" s="202"/>
      <c r="AH21" s="191"/>
      <c r="AI21" s="37"/>
      <c r="AJ21" s="203"/>
      <c r="AK21" s="31"/>
      <c r="AL21" s="24"/>
      <c r="AM21" s="202"/>
      <c r="AN21" s="191"/>
      <c r="AO21" s="37"/>
      <c r="AP21" s="37"/>
      <c r="AQ21" s="37"/>
      <c r="AR21" s="24"/>
      <c r="AS21" s="202"/>
      <c r="AT21" s="191"/>
      <c r="AU21" s="24"/>
      <c r="AV21" s="202"/>
      <c r="AW21" s="191"/>
      <c r="AX21" s="24"/>
      <c r="AY21" s="202"/>
      <c r="AZ21" s="191"/>
      <c r="BA21" s="23"/>
      <c r="BB21" s="23"/>
      <c r="BC21" s="23"/>
      <c r="BD21" s="23"/>
      <c r="BE21" s="23"/>
      <c r="BF21" s="23"/>
      <c r="BG21" s="23"/>
      <c r="BH21" s="23"/>
      <c r="BI21" s="23"/>
      <c r="BJ21" s="24"/>
      <c r="BK21" s="202"/>
      <c r="BL21" s="191"/>
      <c r="BM21" s="37"/>
      <c r="BN21" s="203"/>
      <c r="BO21" s="31"/>
      <c r="BP21" s="24"/>
      <c r="BQ21" s="202"/>
      <c r="BR21" s="191"/>
      <c r="BS21" s="37"/>
      <c r="BT21" s="37"/>
      <c r="BU21" s="37"/>
      <c r="BV21" s="24"/>
      <c r="BW21" s="202"/>
      <c r="BX21" s="191"/>
      <c r="BY21" s="24"/>
      <c r="BZ21" s="202"/>
      <c r="CA21" s="191"/>
      <c r="CB21" s="24"/>
      <c r="CC21" s="202"/>
      <c r="CD21" s="191"/>
    </row>
    <row r="22" spans="1:82">
      <c r="A22" s="204">
        <v>4</v>
      </c>
      <c r="B22" s="205">
        <v>31.4</v>
      </c>
      <c r="C22" s="205">
        <v>52</v>
      </c>
      <c r="D22" s="205">
        <v>4</v>
      </c>
      <c r="E22" s="205">
        <v>2.5</v>
      </c>
      <c r="F22" s="205">
        <f t="shared" si="0"/>
        <v>3.25</v>
      </c>
      <c r="G22" s="206">
        <v>4</v>
      </c>
      <c r="H22" s="205">
        <v>0.158</v>
      </c>
      <c r="I22" s="205">
        <v>20.399999999999999</v>
      </c>
      <c r="J22" s="207">
        <f t="shared" si="1"/>
        <v>0.77450980392156865</v>
      </c>
      <c r="K22" s="205">
        <f t="shared" si="2"/>
        <v>3.6300758169934645E-2</v>
      </c>
      <c r="L22" s="205">
        <f t="shared" si="3"/>
        <v>5.4765031603502276E-12</v>
      </c>
      <c r="M22" s="205">
        <f t="shared" si="4"/>
        <v>6628455623.4261675</v>
      </c>
      <c r="N22" s="252">
        <f t="shared" si="5"/>
        <v>6.6284556234261673</v>
      </c>
      <c r="O22" s="207">
        <f t="shared" si="6"/>
        <v>0.77450980392156865</v>
      </c>
      <c r="P22" s="253">
        <f t="shared" si="7"/>
        <v>3.6300758169934645E-2</v>
      </c>
      <c r="Q22" s="254">
        <f t="shared" si="8"/>
        <v>6.6284556234261673</v>
      </c>
      <c r="U22" s="13" t="s">
        <v>348</v>
      </c>
      <c r="V22" s="30">
        <f>V20-1.96*V21/SQRT(60)</f>
        <v>5.0918234322869189</v>
      </c>
      <c r="AF22" s="24"/>
      <c r="AG22" s="202"/>
      <c r="AH22" s="191"/>
      <c r="AI22" s="37"/>
      <c r="AJ22" s="203"/>
      <c r="AK22" s="31"/>
      <c r="AL22" s="24"/>
      <c r="AM22" s="202"/>
      <c r="AN22" s="191"/>
      <c r="AO22" s="37"/>
      <c r="AP22" s="37"/>
      <c r="AQ22" s="37"/>
      <c r="AR22" s="24"/>
      <c r="AS22" s="202"/>
      <c r="AT22" s="191"/>
      <c r="AU22" s="24"/>
      <c r="AV22" s="202"/>
      <c r="AW22" s="191"/>
      <c r="AX22" s="24"/>
      <c r="AY22" s="202"/>
      <c r="AZ22" s="191"/>
      <c r="BA22" s="23"/>
      <c r="BB22" s="23"/>
      <c r="BC22" s="23"/>
      <c r="BD22" s="23"/>
      <c r="BE22" s="23"/>
      <c r="BF22" s="23"/>
      <c r="BG22" s="23"/>
      <c r="BH22" s="23"/>
      <c r="BI22" s="23"/>
      <c r="BJ22" s="24"/>
      <c r="BK22" s="202"/>
      <c r="BL22" s="191"/>
      <c r="BM22" s="37"/>
      <c r="BN22" s="203"/>
      <c r="BO22" s="31"/>
      <c r="BP22" s="24"/>
      <c r="BQ22" s="202"/>
      <c r="BR22" s="191"/>
      <c r="BS22" s="37"/>
      <c r="BT22" s="37"/>
      <c r="BU22" s="37"/>
      <c r="BV22" s="24"/>
      <c r="BW22" s="202"/>
      <c r="BX22" s="191"/>
      <c r="BY22" s="24"/>
      <c r="BZ22" s="202"/>
      <c r="CA22" s="191"/>
      <c r="CB22" s="24"/>
      <c r="CC22" s="202"/>
      <c r="CD22" s="191"/>
    </row>
    <row r="23" spans="1:82">
      <c r="A23" s="81">
        <v>5</v>
      </c>
      <c r="B23" s="82">
        <v>39</v>
      </c>
      <c r="C23" s="82">
        <v>47</v>
      </c>
      <c r="D23" s="82">
        <v>3.5</v>
      </c>
      <c r="E23" s="82">
        <v>2.5</v>
      </c>
      <c r="F23" s="82">
        <f t="shared" si="0"/>
        <v>3</v>
      </c>
      <c r="G23" s="200">
        <v>1</v>
      </c>
      <c r="H23" s="82">
        <v>8.5999999999999993E-2</v>
      </c>
      <c r="I23" s="82">
        <v>17.3</v>
      </c>
      <c r="J23" s="179">
        <f t="shared" si="1"/>
        <v>0.49710982658959529</v>
      </c>
      <c r="K23" s="82">
        <f t="shared" si="2"/>
        <v>1.7203811175337189E-2</v>
      </c>
      <c r="L23" s="3">
        <f t="shared" si="3"/>
        <v>3.9760782021995822E-12</v>
      </c>
      <c r="M23" s="3">
        <f t="shared" si="4"/>
        <v>4326829177.0066223</v>
      </c>
      <c r="N23" s="29">
        <f t="shared" si="5"/>
        <v>4.3268291770066227</v>
      </c>
      <c r="O23" s="30">
        <f t="shared" si="6"/>
        <v>0.49710982658959529</v>
      </c>
      <c r="P23" s="175">
        <f t="shared" si="7"/>
        <v>1.7203811175337189E-2</v>
      </c>
      <c r="Q23" s="26">
        <f t="shared" si="8"/>
        <v>4.3268291770066227</v>
      </c>
      <c r="U23" s="13" t="s">
        <v>349</v>
      </c>
      <c r="V23" s="30">
        <f>V20+1.96*V21/SQRT(60)</f>
        <v>6.5506658665579032</v>
      </c>
      <c r="AF23" s="24"/>
      <c r="AG23" s="202"/>
      <c r="AH23" s="191"/>
      <c r="AI23" s="37"/>
      <c r="AJ23" s="203"/>
      <c r="AK23" s="31"/>
      <c r="AL23" s="24"/>
      <c r="AM23" s="202"/>
      <c r="AN23" s="191"/>
      <c r="AO23" s="37"/>
      <c r="AP23" s="37"/>
      <c r="AQ23" s="37"/>
      <c r="AR23" s="24"/>
      <c r="AS23" s="202"/>
      <c r="AT23" s="191"/>
      <c r="AU23" s="24"/>
      <c r="AV23" s="202"/>
      <c r="AW23" s="191"/>
      <c r="AX23" s="24"/>
      <c r="AY23" s="202"/>
      <c r="AZ23" s="191"/>
      <c r="BA23" s="23"/>
      <c r="BB23" s="23"/>
      <c r="BC23" s="23"/>
      <c r="BD23" s="23"/>
      <c r="BE23" s="23"/>
      <c r="BF23" s="23"/>
      <c r="BG23" s="23"/>
      <c r="BH23" s="23"/>
      <c r="BI23" s="23"/>
      <c r="BJ23" s="24"/>
      <c r="BK23" s="202"/>
      <c r="BL23" s="191"/>
      <c r="BM23" s="37"/>
      <c r="BN23" s="203"/>
      <c r="BO23" s="31"/>
      <c r="BP23" s="24"/>
      <c r="BQ23" s="202"/>
      <c r="BR23" s="191"/>
      <c r="BS23" s="37"/>
      <c r="BT23" s="37"/>
      <c r="BU23" s="37"/>
      <c r="BV23" s="24"/>
      <c r="BW23" s="202"/>
      <c r="BX23" s="191"/>
      <c r="BY23" s="24"/>
      <c r="BZ23" s="202"/>
      <c r="CA23" s="191"/>
      <c r="CB23" s="24"/>
      <c r="CC23" s="202"/>
      <c r="CD23" s="191"/>
    </row>
    <row r="24" spans="1:82">
      <c r="A24" s="81">
        <v>5</v>
      </c>
      <c r="B24" s="82">
        <v>39</v>
      </c>
      <c r="C24" s="82">
        <v>47</v>
      </c>
      <c r="D24" s="82">
        <v>3.5</v>
      </c>
      <c r="E24" s="82">
        <v>2.5</v>
      </c>
      <c r="F24" s="82">
        <f t="shared" si="0"/>
        <v>3</v>
      </c>
      <c r="G24" s="200">
        <v>2</v>
      </c>
      <c r="H24" s="82">
        <v>0.06</v>
      </c>
      <c r="I24" s="82">
        <v>17.899999999999999</v>
      </c>
      <c r="J24" s="179">
        <f t="shared" si="1"/>
        <v>0.33519553072625696</v>
      </c>
      <c r="K24" s="82">
        <f t="shared" si="2"/>
        <v>1.1600335195530729E-2</v>
      </c>
      <c r="L24" s="3">
        <f t="shared" si="3"/>
        <v>3.9760782021995822E-12</v>
      </c>
      <c r="M24" s="3">
        <f t="shared" si="4"/>
        <v>2917531951.2361145</v>
      </c>
      <c r="N24" s="29">
        <f t="shared" si="5"/>
        <v>2.9175319512361146</v>
      </c>
      <c r="O24" s="30">
        <f t="shared" si="6"/>
        <v>0.33519553072625696</v>
      </c>
      <c r="P24" s="175">
        <f t="shared" si="7"/>
        <v>1.1600335195530729E-2</v>
      </c>
      <c r="Q24" s="26">
        <f t="shared" si="8"/>
        <v>2.9175319512361146</v>
      </c>
      <c r="AF24" s="24"/>
      <c r="AG24" s="202"/>
      <c r="AH24" s="191"/>
      <c r="AI24" s="37"/>
      <c r="AJ24" s="203"/>
      <c r="AK24" s="31"/>
      <c r="AL24" s="24"/>
      <c r="AM24" s="202"/>
      <c r="AN24" s="191"/>
      <c r="AO24" s="37"/>
      <c r="AP24" s="37"/>
      <c r="AQ24" s="37"/>
      <c r="AR24" s="24"/>
      <c r="AS24" s="202"/>
      <c r="AT24" s="191"/>
      <c r="AU24" s="24"/>
      <c r="AV24" s="202"/>
      <c r="AW24" s="191"/>
      <c r="AX24" s="24"/>
      <c r="AY24" s="202"/>
      <c r="AZ24" s="191"/>
      <c r="BA24" s="23"/>
      <c r="BB24" s="23"/>
      <c r="BC24" s="23"/>
      <c r="BD24" s="23"/>
      <c r="BE24" s="23"/>
      <c r="BF24" s="23"/>
      <c r="BG24" s="23"/>
      <c r="BH24" s="23"/>
      <c r="BI24" s="23"/>
      <c r="BJ24" s="24"/>
      <c r="BK24" s="202"/>
      <c r="BL24" s="191"/>
      <c r="BM24" s="37"/>
      <c r="BN24" s="203"/>
      <c r="BO24" s="31"/>
      <c r="BP24" s="24"/>
      <c r="BQ24" s="202"/>
      <c r="BR24" s="191"/>
      <c r="BS24" s="37"/>
      <c r="BT24" s="37"/>
      <c r="BU24" s="37"/>
      <c r="BV24" s="24"/>
      <c r="BW24" s="202"/>
      <c r="BX24" s="191"/>
      <c r="BY24" s="24"/>
      <c r="BZ24" s="202"/>
      <c r="CA24" s="191"/>
      <c r="CB24" s="24"/>
      <c r="CC24" s="202"/>
      <c r="CD24" s="191"/>
    </row>
    <row r="25" spans="1:82" ht="18.75">
      <c r="A25" s="81">
        <v>5</v>
      </c>
      <c r="B25" s="82">
        <v>39</v>
      </c>
      <c r="C25" s="82">
        <v>47</v>
      </c>
      <c r="D25" s="82">
        <v>3.5</v>
      </c>
      <c r="E25" s="82">
        <v>2.5</v>
      </c>
      <c r="F25" s="82">
        <f t="shared" si="0"/>
        <v>3</v>
      </c>
      <c r="G25" s="200">
        <v>3</v>
      </c>
      <c r="H25" s="82">
        <v>7.6999999999999999E-2</v>
      </c>
      <c r="I25" s="82">
        <v>16.899999999999999</v>
      </c>
      <c r="J25" s="179">
        <f t="shared" si="1"/>
        <v>0.45562130177514798</v>
      </c>
      <c r="K25" s="82">
        <f t="shared" si="2"/>
        <v>1.5767990138067067E-2</v>
      </c>
      <c r="L25" s="3">
        <f t="shared" si="3"/>
        <v>3.9760782021995822E-12</v>
      </c>
      <c r="M25" s="3">
        <f t="shared" si="4"/>
        <v>3965714288.3518119</v>
      </c>
      <c r="N25" s="29">
        <f t="shared" si="5"/>
        <v>3.9657142883518119</v>
      </c>
      <c r="O25" s="30">
        <f t="shared" si="6"/>
        <v>0.45562130177514798</v>
      </c>
      <c r="P25" s="175">
        <f t="shared" si="7"/>
        <v>1.5767990138067067E-2</v>
      </c>
      <c r="Q25" s="26">
        <f t="shared" si="8"/>
        <v>3.9657142883518119</v>
      </c>
      <c r="U25" s="21" t="s">
        <v>350</v>
      </c>
      <c r="V25" s="30">
        <f>AVERAGE(K10:K246)</f>
        <v>3.003007302158818E-2</v>
      </c>
      <c r="AF25" s="24"/>
      <c r="AG25" s="202"/>
      <c r="AH25" s="191"/>
      <c r="AI25" s="37"/>
      <c r="AJ25" s="203"/>
      <c r="AK25" s="31"/>
      <c r="AL25" s="24"/>
      <c r="AM25" s="202"/>
      <c r="AN25" s="191"/>
      <c r="AO25" s="37"/>
      <c r="AP25" s="37"/>
      <c r="AQ25" s="37"/>
      <c r="AR25" s="24"/>
      <c r="AS25" s="202"/>
      <c r="AT25" s="191"/>
      <c r="AU25" s="24"/>
      <c r="AV25" s="202"/>
      <c r="AW25" s="191"/>
      <c r="AX25" s="24"/>
      <c r="AY25" s="202"/>
      <c r="AZ25" s="191"/>
      <c r="BA25" s="23"/>
      <c r="BB25" s="23"/>
      <c r="BC25" s="23"/>
      <c r="BD25" s="23"/>
      <c r="BE25" s="23"/>
      <c r="BF25" s="23"/>
      <c r="BG25" s="23"/>
      <c r="BH25" s="23"/>
      <c r="BI25" s="23"/>
      <c r="BJ25" s="24"/>
      <c r="BK25" s="202"/>
      <c r="BL25" s="191"/>
      <c r="BM25" s="37"/>
      <c r="BN25" s="203"/>
      <c r="BO25" s="31"/>
      <c r="BP25" s="24"/>
      <c r="BQ25" s="202"/>
      <c r="BR25" s="191"/>
      <c r="BS25" s="37"/>
      <c r="BT25" s="37"/>
      <c r="BU25" s="37"/>
      <c r="BV25" s="24"/>
      <c r="BW25" s="202"/>
      <c r="BX25" s="191"/>
      <c r="BY25" s="24"/>
      <c r="BZ25" s="202"/>
      <c r="CA25" s="191"/>
      <c r="CB25" s="24"/>
      <c r="CC25" s="202"/>
      <c r="CD25" s="191"/>
    </row>
    <row r="26" spans="1:82">
      <c r="A26" s="81">
        <v>5</v>
      </c>
      <c r="B26" s="82">
        <v>39</v>
      </c>
      <c r="C26" s="82">
        <v>47</v>
      </c>
      <c r="D26" s="82">
        <v>3.5</v>
      </c>
      <c r="E26" s="82">
        <v>2.5</v>
      </c>
      <c r="F26" s="82">
        <f t="shared" si="0"/>
        <v>3</v>
      </c>
      <c r="G26" s="200">
        <v>4</v>
      </c>
      <c r="H26" s="82">
        <v>6.2E-2</v>
      </c>
      <c r="I26" s="82">
        <v>17.100000000000001</v>
      </c>
      <c r="J26" s="179">
        <f t="shared" si="1"/>
        <v>0.36257309941520466</v>
      </c>
      <c r="K26" s="82">
        <f t="shared" si="2"/>
        <v>1.25478089668616E-2</v>
      </c>
      <c r="L26" s="3">
        <f t="shared" si="3"/>
        <v>3.9760782021995822E-12</v>
      </c>
      <c r="M26" s="3">
        <f t="shared" si="4"/>
        <v>3155825496.5709934</v>
      </c>
      <c r="N26" s="29">
        <f t="shared" si="5"/>
        <v>3.1558254965709933</v>
      </c>
      <c r="O26" s="30">
        <f t="shared" si="6"/>
        <v>0.36257309941520466</v>
      </c>
      <c r="P26" s="175">
        <f t="shared" si="7"/>
        <v>1.25478089668616E-2</v>
      </c>
      <c r="Q26" s="26">
        <f t="shared" si="8"/>
        <v>3.1558254965709933</v>
      </c>
      <c r="U26" s="13" t="s">
        <v>351</v>
      </c>
      <c r="V26" s="30">
        <f>_xlfn.STDEV.S(K19:K246)</f>
        <v>1.7978418827639717E-2</v>
      </c>
      <c r="AF26" s="24"/>
      <c r="AG26" s="202"/>
      <c r="AH26" s="191"/>
      <c r="AI26" s="37"/>
      <c r="AJ26" s="203"/>
      <c r="AK26" s="31"/>
      <c r="AL26" s="24"/>
      <c r="AM26" s="202"/>
      <c r="AN26" s="191"/>
      <c r="AO26" s="37"/>
      <c r="AP26" s="37"/>
      <c r="AQ26" s="37"/>
      <c r="AR26" s="24"/>
      <c r="AS26" s="202"/>
      <c r="AT26" s="191"/>
      <c r="AU26" s="24"/>
      <c r="AV26" s="202"/>
      <c r="AW26" s="191"/>
      <c r="AX26" s="24"/>
      <c r="AY26" s="202"/>
      <c r="AZ26" s="191"/>
      <c r="BA26" s="23"/>
      <c r="BB26" s="23"/>
      <c r="BC26" s="23"/>
      <c r="BD26" s="23"/>
      <c r="BE26" s="23"/>
      <c r="BF26" s="23"/>
      <c r="BG26" s="23"/>
      <c r="BH26" s="23"/>
      <c r="BI26" s="23"/>
      <c r="BJ26" s="24"/>
      <c r="BK26" s="202"/>
      <c r="BL26" s="191"/>
      <c r="BM26" s="37"/>
      <c r="BN26" s="203"/>
      <c r="BO26" s="31"/>
      <c r="BP26" s="24"/>
      <c r="BQ26" s="202"/>
      <c r="BR26" s="191"/>
      <c r="BS26" s="37"/>
      <c r="BT26" s="37"/>
      <c r="BU26" s="37"/>
      <c r="BV26" s="24"/>
      <c r="BW26" s="202"/>
      <c r="BX26" s="191"/>
      <c r="BY26" s="24"/>
      <c r="BZ26" s="202"/>
      <c r="CA26" s="191"/>
      <c r="CB26" s="24"/>
      <c r="CC26" s="202"/>
      <c r="CD26" s="191"/>
    </row>
    <row r="27" spans="1:82">
      <c r="A27" s="204">
        <v>6</v>
      </c>
      <c r="B27" s="205">
        <v>26</v>
      </c>
      <c r="C27" s="205">
        <v>42</v>
      </c>
      <c r="D27" s="205">
        <v>3.5</v>
      </c>
      <c r="E27" s="205">
        <v>2.5</v>
      </c>
      <c r="F27" s="205">
        <f t="shared" si="0"/>
        <v>3</v>
      </c>
      <c r="G27" s="206">
        <v>1</v>
      </c>
      <c r="H27" s="205">
        <v>7.0000000000000007E-2</v>
      </c>
      <c r="I27" s="205">
        <v>11.5</v>
      </c>
      <c r="J27" s="207">
        <f t="shared" si="1"/>
        <v>0.60869565217391308</v>
      </c>
      <c r="K27" s="205">
        <f t="shared" si="2"/>
        <v>1.5032347826086956E-2</v>
      </c>
      <c r="L27" s="205">
        <f t="shared" si="3"/>
        <v>3.9760782021995822E-12</v>
      </c>
      <c r="M27" s="205">
        <f t="shared" si="4"/>
        <v>3780697225.1629763</v>
      </c>
      <c r="N27" s="252">
        <f t="shared" si="5"/>
        <v>3.7806972251629762</v>
      </c>
      <c r="O27" s="207">
        <f t="shared" si="6"/>
        <v>0.60869565217391308</v>
      </c>
      <c r="P27" s="253">
        <f t="shared" si="7"/>
        <v>1.5032347826086956E-2</v>
      </c>
      <c r="Q27" s="254">
        <f t="shared" si="8"/>
        <v>3.7806972251629762</v>
      </c>
      <c r="U27" s="13" t="s">
        <v>348</v>
      </c>
      <c r="V27" s="30">
        <f>V25-1.96*V26/SQRT(60)</f>
        <v>2.5480905396496268E-2</v>
      </c>
      <c r="AF27" s="24"/>
      <c r="AG27" s="202"/>
      <c r="AH27" s="191"/>
      <c r="AI27" s="37"/>
      <c r="AJ27" s="203"/>
      <c r="AK27" s="31"/>
      <c r="AL27" s="24"/>
      <c r="AM27" s="202"/>
      <c r="AN27" s="191"/>
      <c r="AO27" s="37"/>
      <c r="AP27" s="37"/>
      <c r="AQ27" s="37"/>
      <c r="AR27" s="24"/>
      <c r="AS27" s="202"/>
      <c r="AT27" s="191"/>
      <c r="AU27" s="24"/>
      <c r="AV27" s="202"/>
      <c r="AW27" s="191"/>
      <c r="AX27" s="24"/>
      <c r="AY27" s="202"/>
      <c r="AZ27" s="191"/>
      <c r="BA27" s="23"/>
      <c r="BB27" s="23"/>
      <c r="BC27" s="23"/>
      <c r="BD27" s="23"/>
      <c r="BE27" s="23"/>
      <c r="BF27" s="23"/>
      <c r="BG27" s="23"/>
      <c r="BH27" s="23"/>
      <c r="BI27" s="23"/>
      <c r="BJ27" s="24"/>
      <c r="BK27" s="202"/>
      <c r="BL27" s="191"/>
      <c r="BM27" s="37"/>
      <c r="BN27" s="203"/>
      <c r="BO27" s="31"/>
      <c r="BP27" s="24"/>
      <c r="BQ27" s="202"/>
      <c r="BR27" s="191"/>
      <c r="BS27" s="37"/>
      <c r="BT27" s="37"/>
      <c r="BU27" s="37"/>
      <c r="BV27" s="24"/>
      <c r="BW27" s="202"/>
      <c r="BX27" s="191"/>
      <c r="BY27" s="24"/>
      <c r="BZ27" s="202"/>
      <c r="CA27" s="191"/>
      <c r="CB27" s="24"/>
      <c r="CC27" s="202"/>
      <c r="CD27" s="191"/>
    </row>
    <row r="28" spans="1:82">
      <c r="A28" s="204">
        <v>6</v>
      </c>
      <c r="B28" s="205">
        <v>26</v>
      </c>
      <c r="C28" s="205">
        <v>42</v>
      </c>
      <c r="D28" s="205">
        <v>3.5</v>
      </c>
      <c r="E28" s="205">
        <v>2.5</v>
      </c>
      <c r="F28" s="205">
        <f t="shared" si="0"/>
        <v>3</v>
      </c>
      <c r="G28" s="206">
        <v>2</v>
      </c>
      <c r="H28" s="205">
        <v>6.8000000000000005E-2</v>
      </c>
      <c r="I28" s="205">
        <v>14.9</v>
      </c>
      <c r="J28" s="207">
        <f t="shared" si="1"/>
        <v>0.45637583892617456</v>
      </c>
      <c r="K28" s="205">
        <f t="shared" si="2"/>
        <v>1.1270657718120804E-2</v>
      </c>
      <c r="L28" s="205">
        <f t="shared" si="3"/>
        <v>3.9760782021995822E-12</v>
      </c>
      <c r="M28" s="205">
        <f t="shared" si="4"/>
        <v>2834616711.4836502</v>
      </c>
      <c r="N28" s="252">
        <f t="shared" si="5"/>
        <v>2.8346167114836502</v>
      </c>
      <c r="O28" s="207">
        <f t="shared" si="6"/>
        <v>0.45637583892617456</v>
      </c>
      <c r="P28" s="253">
        <f t="shared" si="7"/>
        <v>1.1270657718120804E-2</v>
      </c>
      <c r="Q28" s="254">
        <f t="shared" si="8"/>
        <v>2.8346167114836502</v>
      </c>
      <c r="U28" s="13" t="s">
        <v>349</v>
      </c>
      <c r="V28" s="30">
        <f>V25+1.96*V26/SQRT(60)</f>
        <v>3.4579240646680096E-2</v>
      </c>
      <c r="AF28" s="24"/>
      <c r="AG28" s="202"/>
      <c r="AH28" s="191"/>
      <c r="AI28" s="37"/>
      <c r="AJ28" s="203"/>
      <c r="AK28" s="31"/>
      <c r="AL28" s="24"/>
      <c r="AM28" s="202"/>
      <c r="AN28" s="191"/>
      <c r="AO28" s="37"/>
      <c r="AP28" s="37"/>
      <c r="AQ28" s="37"/>
      <c r="AR28" s="24"/>
      <c r="AS28" s="202"/>
      <c r="AT28" s="191"/>
      <c r="AU28" s="24"/>
      <c r="AV28" s="202"/>
      <c r="AW28" s="191"/>
      <c r="AX28" s="24"/>
      <c r="AY28" s="202"/>
      <c r="AZ28" s="191"/>
      <c r="BA28" s="23"/>
      <c r="BB28" s="23"/>
      <c r="BC28" s="23"/>
      <c r="BD28" s="23"/>
      <c r="BE28" s="23"/>
      <c r="BF28" s="23"/>
      <c r="BG28" s="23"/>
      <c r="BH28" s="23"/>
      <c r="BI28" s="23"/>
      <c r="BJ28" s="24"/>
      <c r="BK28" s="202"/>
      <c r="BL28" s="191"/>
      <c r="BM28" s="37"/>
      <c r="BN28" s="203"/>
      <c r="BO28" s="31"/>
      <c r="BP28" s="24"/>
      <c r="BQ28" s="202"/>
      <c r="BR28" s="191"/>
      <c r="BS28" s="37"/>
      <c r="BT28" s="37"/>
      <c r="BU28" s="37"/>
      <c r="BV28" s="24"/>
      <c r="BW28" s="202"/>
      <c r="BX28" s="191"/>
      <c r="BY28" s="24"/>
      <c r="BZ28" s="202"/>
      <c r="CA28" s="191"/>
      <c r="CB28" s="24"/>
      <c r="CC28" s="202"/>
      <c r="CD28" s="191"/>
    </row>
    <row r="29" spans="1:82">
      <c r="A29" s="204">
        <v>6</v>
      </c>
      <c r="B29" s="205">
        <v>26</v>
      </c>
      <c r="C29" s="205">
        <v>42</v>
      </c>
      <c r="D29" s="205">
        <v>3.5</v>
      </c>
      <c r="E29" s="205">
        <v>2.5</v>
      </c>
      <c r="F29" s="205">
        <f t="shared" si="0"/>
        <v>3</v>
      </c>
      <c r="G29" s="206">
        <v>3</v>
      </c>
      <c r="H29" s="205">
        <v>0.04</v>
      </c>
      <c r="I29" s="205">
        <v>15.8</v>
      </c>
      <c r="J29" s="207">
        <f t="shared" si="1"/>
        <v>0.25316455696202533</v>
      </c>
      <c r="K29" s="205">
        <f t="shared" si="2"/>
        <v>6.2521518987341757E-3</v>
      </c>
      <c r="L29" s="205">
        <f t="shared" si="3"/>
        <v>3.9760782021995822E-12</v>
      </c>
      <c r="M29" s="205">
        <f t="shared" si="4"/>
        <v>1572441883.8833351</v>
      </c>
      <c r="N29" s="252">
        <f t="shared" si="5"/>
        <v>1.5724418838833352</v>
      </c>
      <c r="O29" s="207">
        <f t="shared" si="6"/>
        <v>0.25316455696202533</v>
      </c>
      <c r="P29" s="253">
        <f t="shared" si="7"/>
        <v>6.2521518987341757E-3</v>
      </c>
      <c r="Q29" s="254">
        <f t="shared" si="8"/>
        <v>1.5724418838833352</v>
      </c>
      <c r="AF29" s="24"/>
      <c r="AG29" s="202"/>
      <c r="AH29" s="191"/>
      <c r="AI29" s="37"/>
      <c r="AJ29" s="203"/>
      <c r="AK29" s="31"/>
      <c r="AL29" s="24"/>
      <c r="AM29" s="202"/>
      <c r="AN29" s="191"/>
      <c r="AO29" s="37"/>
      <c r="AP29" s="37"/>
      <c r="AQ29" s="37"/>
      <c r="AR29" s="24"/>
      <c r="AS29" s="202"/>
      <c r="AT29" s="191"/>
      <c r="AU29" s="24"/>
      <c r="AV29" s="202"/>
      <c r="AW29" s="191"/>
      <c r="AX29" s="24"/>
      <c r="AY29" s="202"/>
      <c r="AZ29" s="191"/>
      <c r="BA29" s="23"/>
      <c r="BB29" s="23"/>
      <c r="BC29" s="23"/>
      <c r="BD29" s="23"/>
      <c r="BE29" s="23"/>
      <c r="BF29" s="23"/>
      <c r="BG29" s="23"/>
      <c r="BH29" s="23"/>
      <c r="BI29" s="23"/>
      <c r="BJ29" s="24"/>
      <c r="BK29" s="202"/>
      <c r="BL29" s="191"/>
      <c r="BM29" s="37"/>
      <c r="BN29" s="203"/>
      <c r="BO29" s="31"/>
      <c r="BP29" s="24"/>
      <c r="BQ29" s="202"/>
      <c r="BR29" s="191"/>
      <c r="BS29" s="37"/>
      <c r="BT29" s="37"/>
      <c r="BU29" s="37"/>
      <c r="BV29" s="24"/>
      <c r="BW29" s="202"/>
      <c r="BX29" s="191"/>
      <c r="BY29" s="24"/>
      <c r="BZ29" s="202"/>
      <c r="CA29" s="191"/>
      <c r="CB29" s="24"/>
      <c r="CC29" s="202"/>
      <c r="CD29" s="191"/>
    </row>
    <row r="30" spans="1:82" ht="18">
      <c r="A30" s="204">
        <v>6</v>
      </c>
      <c r="B30" s="205">
        <v>26</v>
      </c>
      <c r="C30" s="205">
        <v>42</v>
      </c>
      <c r="D30" s="205">
        <v>3.5</v>
      </c>
      <c r="E30" s="205">
        <v>2.5</v>
      </c>
      <c r="F30" s="205">
        <f t="shared" si="0"/>
        <v>3</v>
      </c>
      <c r="G30" s="206">
        <v>4</v>
      </c>
      <c r="H30" s="205">
        <v>6.2E-2</v>
      </c>
      <c r="I30" s="205">
        <v>14.6</v>
      </c>
      <c r="J30" s="207">
        <f t="shared" si="1"/>
        <v>0.42465753424657537</v>
      </c>
      <c r="K30" s="205">
        <f t="shared" si="2"/>
        <v>1.0487342465753424E-2</v>
      </c>
      <c r="L30" s="205">
        <f t="shared" si="3"/>
        <v>3.9760782021995822E-12</v>
      </c>
      <c r="M30" s="205">
        <f t="shared" si="4"/>
        <v>2637609707.965951</v>
      </c>
      <c r="N30" s="252">
        <f t="shared" si="5"/>
        <v>2.6376097079659511</v>
      </c>
      <c r="O30" s="207">
        <f t="shared" si="6"/>
        <v>0.42465753424657537</v>
      </c>
      <c r="P30" s="253">
        <f t="shared" si="7"/>
        <v>1.0487342465753424E-2</v>
      </c>
      <c r="Q30" s="254">
        <f t="shared" si="8"/>
        <v>2.6376097079659511</v>
      </c>
      <c r="U30" s="21" t="s">
        <v>352</v>
      </c>
      <c r="V30" s="30">
        <f>AVERAGE(J7:J246)</f>
        <v>0.53573142506122629</v>
      </c>
      <c r="AF30" s="24"/>
      <c r="AG30" s="202"/>
      <c r="AH30" s="191"/>
      <c r="AI30" s="37"/>
      <c r="AJ30" s="203"/>
      <c r="AK30" s="31"/>
      <c r="AL30" s="24"/>
      <c r="AM30" s="202"/>
      <c r="AN30" s="191"/>
      <c r="AO30" s="37"/>
      <c r="AP30" s="37"/>
      <c r="AQ30" s="37"/>
      <c r="AR30" s="24"/>
      <c r="AS30" s="202"/>
      <c r="AT30" s="191"/>
      <c r="AU30" s="24"/>
      <c r="AV30" s="202"/>
      <c r="AW30" s="191"/>
      <c r="AX30" s="24"/>
      <c r="AY30" s="202"/>
      <c r="AZ30" s="191"/>
      <c r="BA30" s="23"/>
      <c r="BB30" s="23"/>
      <c r="BC30" s="23"/>
      <c r="BD30" s="23"/>
      <c r="BE30" s="23"/>
      <c r="BF30" s="23"/>
      <c r="BG30" s="23"/>
      <c r="BH30" s="23"/>
      <c r="BI30" s="23"/>
      <c r="BJ30" s="24"/>
      <c r="BK30" s="202"/>
      <c r="BL30" s="191"/>
      <c r="BM30" s="37"/>
      <c r="BN30" s="203"/>
      <c r="BO30" s="31"/>
      <c r="BP30" s="24"/>
      <c r="BQ30" s="202"/>
      <c r="BR30" s="191"/>
      <c r="BS30" s="37"/>
      <c r="BT30" s="37"/>
      <c r="BU30" s="37"/>
      <c r="BV30" s="24"/>
      <c r="BW30" s="202"/>
      <c r="BX30" s="191"/>
      <c r="BY30" s="24"/>
      <c r="BZ30" s="202"/>
      <c r="CA30" s="191"/>
      <c r="CB30" s="24"/>
      <c r="CC30" s="202"/>
      <c r="CD30" s="191"/>
    </row>
    <row r="31" spans="1:82">
      <c r="A31" s="81">
        <v>7</v>
      </c>
      <c r="B31" s="82">
        <v>35.5</v>
      </c>
      <c r="C31" s="82">
        <v>56</v>
      </c>
      <c r="D31" s="82">
        <v>4</v>
      </c>
      <c r="E31" s="82">
        <v>3</v>
      </c>
      <c r="F31" s="82">
        <f t="shared" si="0"/>
        <v>3.5</v>
      </c>
      <c r="G31" s="200">
        <v>1</v>
      </c>
      <c r="H31" s="82">
        <v>0.14699999999999999</v>
      </c>
      <c r="I31" s="82">
        <v>14.9</v>
      </c>
      <c r="J31" s="179">
        <f t="shared" si="1"/>
        <v>0.98657718120805371</v>
      </c>
      <c r="K31" s="82">
        <f t="shared" si="2"/>
        <v>5.7752912751677869E-2</v>
      </c>
      <c r="L31" s="3">
        <f t="shared" si="3"/>
        <v>7.3661757434268517E-12</v>
      </c>
      <c r="M31" s="3">
        <f t="shared" si="4"/>
        <v>7840284397.6690645</v>
      </c>
      <c r="N31" s="29">
        <f t="shared" si="5"/>
        <v>7.8402843976690644</v>
      </c>
      <c r="O31" s="30">
        <f t="shared" si="6"/>
        <v>0.98657718120805371</v>
      </c>
      <c r="P31" s="175">
        <f t="shared" si="7"/>
        <v>5.7752912751677869E-2</v>
      </c>
      <c r="Q31" s="26">
        <f t="shared" si="8"/>
        <v>7.8402843976690644</v>
      </c>
      <c r="U31" s="13" t="s">
        <v>353</v>
      </c>
      <c r="V31" s="30">
        <f>_xlfn.STDEV.S(J7:J246)</f>
        <v>0.2719298592854324</v>
      </c>
      <c r="AF31" s="24"/>
      <c r="AG31" s="202"/>
      <c r="AH31" s="191"/>
      <c r="AI31" s="37"/>
      <c r="AJ31" s="203"/>
      <c r="AK31" s="31"/>
      <c r="AL31" s="24"/>
      <c r="AM31" s="202"/>
      <c r="AN31" s="191"/>
      <c r="AO31" s="37"/>
      <c r="AP31" s="37"/>
      <c r="AQ31" s="37"/>
      <c r="AR31" s="24"/>
      <c r="AS31" s="202"/>
      <c r="AT31" s="191"/>
      <c r="AU31" s="24"/>
      <c r="AV31" s="202"/>
      <c r="AW31" s="191"/>
      <c r="AX31" s="24"/>
      <c r="AY31" s="202"/>
      <c r="AZ31" s="191"/>
      <c r="BA31" s="23"/>
      <c r="BB31" s="23"/>
      <c r="BC31" s="23"/>
      <c r="BD31" s="23"/>
      <c r="BE31" s="23"/>
      <c r="BF31" s="23"/>
      <c r="BG31" s="23"/>
      <c r="BH31" s="23"/>
      <c r="BI31" s="23"/>
      <c r="BJ31" s="24"/>
      <c r="BK31" s="202"/>
      <c r="BL31" s="191"/>
      <c r="BM31" s="37"/>
      <c r="BN31" s="203"/>
      <c r="BO31" s="31"/>
      <c r="BP31" s="24"/>
      <c r="BQ31" s="202"/>
      <c r="BR31" s="191"/>
      <c r="BS31" s="37"/>
      <c r="BT31" s="37"/>
      <c r="BU31" s="37"/>
      <c r="BV31" s="24"/>
      <c r="BW31" s="202"/>
      <c r="BX31" s="191"/>
      <c r="BY31" s="24"/>
      <c r="BZ31" s="202"/>
      <c r="CA31" s="191"/>
      <c r="CB31" s="24"/>
      <c r="CC31" s="202"/>
      <c r="CD31" s="191"/>
    </row>
    <row r="32" spans="1:82">
      <c r="A32" s="81">
        <v>7</v>
      </c>
      <c r="B32" s="82">
        <v>35.5</v>
      </c>
      <c r="C32" s="82">
        <v>56</v>
      </c>
      <c r="D32" s="82">
        <v>4</v>
      </c>
      <c r="E32" s="82">
        <v>3</v>
      </c>
      <c r="F32" s="82">
        <f t="shared" si="0"/>
        <v>3.5</v>
      </c>
      <c r="G32" s="200">
        <v>2</v>
      </c>
      <c r="H32" s="82">
        <v>0.14699999999999999</v>
      </c>
      <c r="I32" s="82">
        <v>17.5</v>
      </c>
      <c r="J32" s="179">
        <f t="shared" si="1"/>
        <v>0.83999999999999986</v>
      </c>
      <c r="K32" s="82">
        <f t="shared" si="2"/>
        <v>4.9172480000000011E-2</v>
      </c>
      <c r="L32" s="3">
        <f t="shared" si="3"/>
        <v>7.3661757434268517E-12</v>
      </c>
      <c r="M32" s="3">
        <f t="shared" si="4"/>
        <v>6675442144.3010893</v>
      </c>
      <c r="N32" s="29">
        <f t="shared" si="5"/>
        <v>6.6754421443010896</v>
      </c>
      <c r="O32" s="30">
        <f t="shared" si="6"/>
        <v>0.83999999999999986</v>
      </c>
      <c r="P32" s="175">
        <f t="shared" si="7"/>
        <v>4.9172480000000011E-2</v>
      </c>
      <c r="Q32" s="26">
        <f t="shared" si="8"/>
        <v>6.6754421443010896</v>
      </c>
      <c r="U32" s="13" t="s">
        <v>348</v>
      </c>
      <c r="V32" s="30">
        <f>V30-1.96*V31/SQRT(60)</f>
        <v>0.4669236770597579</v>
      </c>
      <c r="AF32" s="24"/>
      <c r="AG32" s="202"/>
      <c r="AH32" s="191"/>
      <c r="AI32" s="37"/>
      <c r="AJ32" s="203"/>
      <c r="AK32" s="31"/>
      <c r="AL32" s="24"/>
      <c r="AM32" s="202"/>
      <c r="AN32" s="191"/>
      <c r="AO32" s="37"/>
      <c r="AP32" s="37"/>
      <c r="AQ32" s="37"/>
      <c r="AR32" s="24"/>
      <c r="AS32" s="202"/>
      <c r="AT32" s="191"/>
      <c r="AU32" s="24"/>
      <c r="AV32" s="202"/>
      <c r="AW32" s="191"/>
      <c r="AX32" s="24"/>
      <c r="AY32" s="202"/>
      <c r="AZ32" s="191"/>
      <c r="BA32" s="23"/>
      <c r="BB32" s="23"/>
      <c r="BC32" s="23"/>
      <c r="BD32" s="23"/>
      <c r="BE32" s="23"/>
      <c r="BF32" s="23"/>
      <c r="BG32" s="23"/>
      <c r="BH32" s="23"/>
      <c r="BI32" s="23"/>
      <c r="BJ32" s="24"/>
      <c r="BK32" s="202"/>
      <c r="BL32" s="191"/>
      <c r="BM32" s="37"/>
      <c r="BN32" s="203"/>
      <c r="BO32" s="31"/>
      <c r="BP32" s="24"/>
      <c r="BQ32" s="202"/>
      <c r="BR32" s="191"/>
      <c r="BS32" s="37"/>
      <c r="BT32" s="37"/>
      <c r="BU32" s="37"/>
      <c r="BV32" s="24"/>
      <c r="BW32" s="202"/>
      <c r="BX32" s="191"/>
      <c r="BY32" s="24"/>
      <c r="BZ32" s="202"/>
      <c r="CA32" s="191"/>
      <c r="CB32" s="24"/>
      <c r="CC32" s="202"/>
      <c r="CD32" s="191"/>
    </row>
    <row r="33" spans="1:82">
      <c r="A33" s="81">
        <v>7</v>
      </c>
      <c r="B33" s="82">
        <v>35.5</v>
      </c>
      <c r="C33" s="82">
        <v>56</v>
      </c>
      <c r="D33" s="82">
        <v>4</v>
      </c>
      <c r="E33" s="82">
        <v>3</v>
      </c>
      <c r="F33" s="82">
        <f t="shared" si="0"/>
        <v>3.5</v>
      </c>
      <c r="G33" s="200">
        <v>3</v>
      </c>
      <c r="H33" s="82">
        <v>0.14299999999999999</v>
      </c>
      <c r="I33" s="82">
        <v>16.8</v>
      </c>
      <c r="J33" s="179">
        <f t="shared" si="1"/>
        <v>0.85119047619047605</v>
      </c>
      <c r="K33" s="82">
        <f t="shared" si="2"/>
        <v>4.9827555555555562E-2</v>
      </c>
      <c r="L33" s="3">
        <f t="shared" si="3"/>
        <v>7.3661757434268517E-12</v>
      </c>
      <c r="M33" s="3">
        <f t="shared" si="4"/>
        <v>6764372354.2733536</v>
      </c>
      <c r="N33" s="29">
        <f t="shared" si="5"/>
        <v>6.7643723542733536</v>
      </c>
      <c r="O33" s="30">
        <f t="shared" si="6"/>
        <v>0.85119047619047605</v>
      </c>
      <c r="P33" s="175">
        <f t="shared" si="7"/>
        <v>4.9827555555555562E-2</v>
      </c>
      <c r="Q33" s="26">
        <f t="shared" si="8"/>
        <v>6.7643723542733536</v>
      </c>
      <c r="U33" s="13" t="s">
        <v>349</v>
      </c>
      <c r="V33" s="30">
        <f>V30+1.96*V31/SQRT(60)</f>
        <v>0.60453917306269467</v>
      </c>
      <c r="AF33" s="24"/>
      <c r="AG33" s="202"/>
      <c r="AH33" s="191"/>
      <c r="AI33" s="37"/>
      <c r="AJ33" s="203"/>
      <c r="AK33" s="31"/>
      <c r="AL33" s="24"/>
      <c r="AM33" s="202"/>
      <c r="AN33" s="191"/>
      <c r="AO33" s="37"/>
      <c r="AP33" s="37"/>
      <c r="AQ33" s="37"/>
      <c r="AR33" s="24"/>
      <c r="AS33" s="202"/>
      <c r="AT33" s="191"/>
      <c r="AU33" s="24"/>
      <c r="AV33" s="202"/>
      <c r="AW33" s="191"/>
      <c r="AX33" s="24"/>
      <c r="AY33" s="202"/>
      <c r="AZ33" s="191"/>
      <c r="BA33" s="23"/>
      <c r="BB33" s="23"/>
      <c r="BC33" s="23"/>
      <c r="BD33" s="23"/>
      <c r="BE33" s="23"/>
      <c r="BF33" s="23"/>
      <c r="BG33" s="23"/>
      <c r="BH33" s="23"/>
      <c r="BI33" s="23"/>
      <c r="BJ33" s="24"/>
      <c r="BK33" s="202"/>
      <c r="BL33" s="191"/>
      <c r="BM33" s="37"/>
      <c r="BN33" s="203"/>
      <c r="BO33" s="31"/>
      <c r="BP33" s="24"/>
      <c r="BQ33" s="202"/>
      <c r="BR33" s="191"/>
      <c r="BS33" s="37"/>
      <c r="BT33" s="37"/>
      <c r="BU33" s="37"/>
      <c r="BV33" s="24"/>
      <c r="BW33" s="202"/>
      <c r="BX33" s="191"/>
      <c r="BY33" s="24"/>
      <c r="BZ33" s="202"/>
      <c r="CA33" s="191"/>
      <c r="CB33" s="24"/>
      <c r="CC33" s="202"/>
      <c r="CD33" s="191"/>
    </row>
    <row r="34" spans="1:82">
      <c r="A34" s="81">
        <v>7</v>
      </c>
      <c r="B34" s="82">
        <v>35.5</v>
      </c>
      <c r="C34" s="82">
        <v>56</v>
      </c>
      <c r="D34" s="82">
        <v>4</v>
      </c>
      <c r="E34" s="82">
        <v>3</v>
      </c>
      <c r="F34" s="82">
        <f t="shared" si="0"/>
        <v>3.5</v>
      </c>
      <c r="G34" s="200">
        <v>4</v>
      </c>
      <c r="H34" s="82">
        <v>0.20399999999999999</v>
      </c>
      <c r="I34" s="82">
        <v>17.399999999999999</v>
      </c>
      <c r="J34" s="179">
        <f t="shared" si="1"/>
        <v>1.1724137931034482</v>
      </c>
      <c r="K34" s="82">
        <f t="shared" si="2"/>
        <v>6.8631540229885074E-2</v>
      </c>
      <c r="L34" s="3">
        <f t="shared" si="3"/>
        <v>7.3661757434268517E-12</v>
      </c>
      <c r="M34" s="3">
        <f t="shared" si="4"/>
        <v>9317119577.4317341</v>
      </c>
      <c r="N34" s="29">
        <f t="shared" si="5"/>
        <v>9.3171195774317344</v>
      </c>
      <c r="O34" s="30">
        <f t="shared" si="6"/>
        <v>1.1724137931034482</v>
      </c>
      <c r="P34" s="175">
        <f t="shared" si="7"/>
        <v>6.8631540229885074E-2</v>
      </c>
      <c r="Q34" s="26">
        <f t="shared" si="8"/>
        <v>9.3171195774317344</v>
      </c>
      <c r="AF34" s="24"/>
      <c r="AG34" s="202"/>
      <c r="AH34" s="191"/>
      <c r="AI34" s="37"/>
      <c r="AJ34" s="203"/>
      <c r="AK34" s="31"/>
      <c r="AL34" s="24"/>
      <c r="AM34" s="202"/>
      <c r="AN34" s="191"/>
      <c r="AO34" s="37"/>
      <c r="AP34" s="37"/>
      <c r="AQ34" s="37"/>
      <c r="AR34" s="24"/>
      <c r="AS34" s="202"/>
      <c r="AT34" s="191"/>
      <c r="AU34" s="24"/>
      <c r="AV34" s="202"/>
      <c r="AW34" s="191"/>
      <c r="AX34" s="24"/>
      <c r="AY34" s="202"/>
      <c r="AZ34" s="191"/>
      <c r="BA34" s="23"/>
      <c r="BB34" s="23"/>
      <c r="BC34" s="23"/>
      <c r="BD34" s="23"/>
      <c r="BE34" s="23"/>
      <c r="BF34" s="23"/>
      <c r="BG34" s="23"/>
      <c r="BH34" s="23"/>
      <c r="BI34" s="23"/>
      <c r="BJ34" s="24"/>
      <c r="BK34" s="202"/>
      <c r="BL34" s="191"/>
      <c r="BM34" s="37"/>
      <c r="BN34" s="203"/>
      <c r="BO34" s="31"/>
      <c r="BP34" s="24"/>
      <c r="BQ34" s="202"/>
      <c r="BR34" s="191"/>
      <c r="BS34" s="37"/>
      <c r="BT34" s="37"/>
      <c r="BU34" s="37"/>
      <c r="BV34" s="24"/>
      <c r="BW34" s="202"/>
      <c r="BX34" s="191"/>
      <c r="BY34" s="24"/>
      <c r="BZ34" s="202"/>
      <c r="CA34" s="191"/>
      <c r="CB34" s="24"/>
      <c r="CC34" s="202"/>
      <c r="CD34" s="191"/>
    </row>
    <row r="35" spans="1:82">
      <c r="A35" s="204">
        <v>8</v>
      </c>
      <c r="B35" s="205">
        <v>32</v>
      </c>
      <c r="C35" s="205">
        <v>50</v>
      </c>
      <c r="D35" s="205">
        <v>3.5</v>
      </c>
      <c r="E35" s="205">
        <v>2.5</v>
      </c>
      <c r="F35" s="205">
        <f t="shared" si="0"/>
        <v>3</v>
      </c>
      <c r="G35" s="206">
        <v>1</v>
      </c>
      <c r="H35" s="205">
        <v>6.0999999999999999E-2</v>
      </c>
      <c r="I35" s="205">
        <v>16.7</v>
      </c>
      <c r="J35" s="207">
        <f t="shared" si="1"/>
        <v>0.3652694610778443</v>
      </c>
      <c r="K35" s="205">
        <f t="shared" si="2"/>
        <v>1.5219560878243513E-2</v>
      </c>
      <c r="L35" s="205">
        <f t="shared" si="3"/>
        <v>3.9760782021995822E-12</v>
      </c>
      <c r="M35" s="205">
        <f t="shared" si="4"/>
        <v>3827782076.7770591</v>
      </c>
      <c r="N35" s="252">
        <f t="shared" si="5"/>
        <v>3.827782076777059</v>
      </c>
      <c r="O35" s="207">
        <f t="shared" si="6"/>
        <v>0.3652694610778443</v>
      </c>
      <c r="P35" s="253">
        <f t="shared" si="7"/>
        <v>1.5219560878243513E-2</v>
      </c>
      <c r="Q35" s="254">
        <f t="shared" si="8"/>
        <v>3.827782076777059</v>
      </c>
      <c r="AF35" s="24"/>
      <c r="AG35" s="202"/>
      <c r="AH35" s="191"/>
      <c r="AI35" s="37"/>
      <c r="AJ35" s="203"/>
      <c r="AK35" s="31"/>
      <c r="AL35" s="24"/>
      <c r="AM35" s="202"/>
      <c r="AN35" s="191"/>
      <c r="AO35" s="37"/>
      <c r="AP35" s="37"/>
      <c r="AQ35" s="37"/>
      <c r="AR35" s="24"/>
      <c r="AS35" s="202"/>
      <c r="AT35" s="191"/>
      <c r="AU35" s="24"/>
      <c r="AV35" s="202"/>
      <c r="AW35" s="191"/>
      <c r="AX35" s="24"/>
      <c r="AY35" s="202"/>
      <c r="AZ35" s="191"/>
      <c r="BA35" s="23"/>
      <c r="BB35" s="23"/>
      <c r="BC35" s="23"/>
      <c r="BD35" s="23"/>
      <c r="BE35" s="23"/>
      <c r="BF35" s="23"/>
      <c r="BG35" s="23"/>
      <c r="BH35" s="23"/>
      <c r="BI35" s="23"/>
      <c r="BJ35" s="24"/>
      <c r="BK35" s="202"/>
      <c r="BL35" s="191"/>
      <c r="BM35" s="37"/>
      <c r="BN35" s="203"/>
      <c r="BO35" s="31"/>
      <c r="BP35" s="24"/>
      <c r="BQ35" s="202"/>
      <c r="BR35" s="191"/>
      <c r="BS35" s="37"/>
      <c r="BT35" s="37"/>
      <c r="BU35" s="37"/>
      <c r="BV35" s="24"/>
      <c r="BW35" s="202"/>
      <c r="BX35" s="191"/>
      <c r="BY35" s="24"/>
      <c r="BZ35" s="202"/>
      <c r="CA35" s="191"/>
      <c r="CB35" s="24"/>
      <c r="CC35" s="202"/>
      <c r="CD35" s="191"/>
    </row>
    <row r="36" spans="1:82">
      <c r="A36" s="204">
        <v>8</v>
      </c>
      <c r="B36" s="205">
        <v>32</v>
      </c>
      <c r="C36" s="205">
        <v>50</v>
      </c>
      <c r="D36" s="205">
        <v>3.5</v>
      </c>
      <c r="E36" s="205">
        <v>2.5</v>
      </c>
      <c r="F36" s="205">
        <f t="shared" si="0"/>
        <v>3</v>
      </c>
      <c r="G36" s="206">
        <v>2</v>
      </c>
      <c r="H36" s="205">
        <v>6.9000000000000006E-2</v>
      </c>
      <c r="I36" s="205">
        <v>17.3</v>
      </c>
      <c r="J36" s="207">
        <f t="shared" si="1"/>
        <v>0.39884393063583817</v>
      </c>
      <c r="K36" s="205">
        <f t="shared" si="2"/>
        <v>1.6618497109826592E-2</v>
      </c>
      <c r="L36" s="205">
        <f t="shared" si="3"/>
        <v>3.9760782021995822E-12</v>
      </c>
      <c r="M36" s="205">
        <f t="shared" si="4"/>
        <v>4179620285.2934766</v>
      </c>
      <c r="N36" s="252">
        <f t="shared" si="5"/>
        <v>4.1796202852934767</v>
      </c>
      <c r="O36" s="207">
        <f t="shared" si="6"/>
        <v>0.39884393063583817</v>
      </c>
      <c r="P36" s="253">
        <f t="shared" si="7"/>
        <v>1.6618497109826592E-2</v>
      </c>
      <c r="Q36" s="254">
        <f t="shared" si="8"/>
        <v>4.1796202852934767</v>
      </c>
      <c r="AF36" s="24"/>
      <c r="AG36" s="202"/>
      <c r="AH36" s="191"/>
      <c r="AI36" s="37"/>
      <c r="AJ36" s="203"/>
      <c r="AK36" s="31"/>
      <c r="AL36" s="24"/>
      <c r="AM36" s="202"/>
      <c r="AN36" s="191"/>
      <c r="AO36" s="37"/>
      <c r="AP36" s="37"/>
      <c r="AQ36" s="37"/>
      <c r="AR36" s="24"/>
      <c r="AS36" s="202"/>
      <c r="AT36" s="191"/>
      <c r="AU36" s="24"/>
      <c r="AV36" s="202"/>
      <c r="AW36" s="191"/>
      <c r="AX36" s="24"/>
      <c r="AY36" s="202"/>
      <c r="AZ36" s="191"/>
      <c r="BA36" s="23"/>
      <c r="BB36" s="23"/>
      <c r="BC36" s="23"/>
      <c r="BD36" s="23"/>
      <c r="BE36" s="23"/>
      <c r="BF36" s="23"/>
      <c r="BG36" s="23"/>
      <c r="BH36" s="23"/>
      <c r="BI36" s="23"/>
      <c r="BJ36" s="24"/>
      <c r="BK36" s="202"/>
      <c r="BL36" s="191"/>
      <c r="BM36" s="37"/>
      <c r="BN36" s="203"/>
      <c r="BO36" s="31"/>
      <c r="BP36" s="24"/>
      <c r="BQ36" s="202"/>
      <c r="BR36" s="191"/>
      <c r="BS36" s="37"/>
      <c r="BT36" s="37"/>
      <c r="BU36" s="37"/>
      <c r="BV36" s="24"/>
      <c r="BW36" s="202"/>
      <c r="BX36" s="191"/>
      <c r="BY36" s="24"/>
      <c r="BZ36" s="202"/>
      <c r="CA36" s="191"/>
      <c r="CB36" s="24"/>
      <c r="CC36" s="202"/>
      <c r="CD36" s="191"/>
    </row>
    <row r="37" spans="1:82">
      <c r="A37" s="204">
        <v>8</v>
      </c>
      <c r="B37" s="205">
        <v>32</v>
      </c>
      <c r="C37" s="205">
        <v>50</v>
      </c>
      <c r="D37" s="205">
        <v>3.5</v>
      </c>
      <c r="E37" s="205">
        <v>2.5</v>
      </c>
      <c r="F37" s="205">
        <f t="shared" si="0"/>
        <v>3</v>
      </c>
      <c r="G37" s="206">
        <v>3</v>
      </c>
      <c r="H37" s="205">
        <v>7.4999999999999997E-2</v>
      </c>
      <c r="I37" s="205">
        <v>17.399999999999999</v>
      </c>
      <c r="J37" s="207">
        <f t="shared" si="1"/>
        <v>0.43103448275862072</v>
      </c>
      <c r="K37" s="205">
        <f t="shared" si="2"/>
        <v>1.7959770114942531E-2</v>
      </c>
      <c r="L37" s="205">
        <f t="shared" si="3"/>
        <v>3.9760782021995822E-12</v>
      </c>
      <c r="M37" s="205">
        <f t="shared" si="4"/>
        <v>4516955955.4958239</v>
      </c>
      <c r="N37" s="252">
        <f t="shared" si="5"/>
        <v>4.5169559554958241</v>
      </c>
      <c r="O37" s="207">
        <f t="shared" si="6"/>
        <v>0.43103448275862072</v>
      </c>
      <c r="P37" s="253">
        <f t="shared" si="7"/>
        <v>1.7959770114942531E-2</v>
      </c>
      <c r="Q37" s="254">
        <f t="shared" si="8"/>
        <v>4.5169559554958241</v>
      </c>
      <c r="AF37" s="24"/>
      <c r="AG37" s="202"/>
      <c r="AH37" s="191"/>
      <c r="AI37" s="37"/>
      <c r="AJ37" s="203"/>
      <c r="AK37" s="31"/>
      <c r="AL37" s="24"/>
      <c r="AM37" s="202"/>
      <c r="AN37" s="191"/>
      <c r="AO37" s="37"/>
      <c r="AP37" s="37"/>
      <c r="AQ37" s="37"/>
      <c r="AR37" s="24"/>
      <c r="AS37" s="202"/>
      <c r="AT37" s="191"/>
      <c r="AU37" s="24"/>
      <c r="AV37" s="202"/>
      <c r="AW37" s="191"/>
      <c r="AX37" s="24"/>
      <c r="AY37" s="202"/>
      <c r="AZ37" s="191"/>
      <c r="BA37" s="23"/>
      <c r="BB37" s="23"/>
      <c r="BC37" s="23"/>
      <c r="BD37" s="23"/>
      <c r="BE37" s="23"/>
      <c r="BF37" s="23"/>
      <c r="BG37" s="23"/>
      <c r="BH37" s="23"/>
      <c r="BI37" s="23"/>
      <c r="BJ37" s="24"/>
      <c r="BK37" s="202"/>
      <c r="BL37" s="191"/>
      <c r="BM37" s="37"/>
      <c r="BN37" s="203"/>
      <c r="BO37" s="31"/>
      <c r="BP37" s="24"/>
      <c r="BQ37" s="202"/>
      <c r="BR37" s="191"/>
      <c r="BS37" s="37"/>
      <c r="BT37" s="37"/>
      <c r="BU37" s="37"/>
      <c r="BV37" s="24"/>
      <c r="BW37" s="202"/>
      <c r="BX37" s="191"/>
      <c r="BY37" s="24"/>
      <c r="BZ37" s="202"/>
      <c r="CA37" s="191"/>
      <c r="CB37" s="24"/>
      <c r="CC37" s="202"/>
      <c r="CD37" s="191"/>
    </row>
    <row r="38" spans="1:82">
      <c r="A38" s="204">
        <v>8</v>
      </c>
      <c r="B38" s="205">
        <v>32</v>
      </c>
      <c r="C38" s="205">
        <v>50</v>
      </c>
      <c r="D38" s="205">
        <v>3.5</v>
      </c>
      <c r="E38" s="205">
        <v>2.5</v>
      </c>
      <c r="F38" s="205">
        <f t="shared" si="0"/>
        <v>3</v>
      </c>
      <c r="G38" s="206">
        <v>4</v>
      </c>
      <c r="H38" s="205">
        <v>6.6000000000000003E-2</v>
      </c>
      <c r="I38" s="205">
        <v>18.3</v>
      </c>
      <c r="J38" s="207">
        <f t="shared" si="1"/>
        <v>0.36065573770491799</v>
      </c>
      <c r="K38" s="205">
        <f t="shared" si="2"/>
        <v>1.5027322404371582E-2</v>
      </c>
      <c r="L38" s="205">
        <f t="shared" si="3"/>
        <v>3.9760782021995822E-12</v>
      </c>
      <c r="M38" s="205">
        <f t="shared" si="4"/>
        <v>3779433310.9591274</v>
      </c>
      <c r="N38" s="252">
        <f t="shared" si="5"/>
        <v>3.7794333109591274</v>
      </c>
      <c r="O38" s="207">
        <f t="shared" si="6"/>
        <v>0.36065573770491799</v>
      </c>
      <c r="P38" s="253">
        <f t="shared" si="7"/>
        <v>1.5027322404371582E-2</v>
      </c>
      <c r="Q38" s="254">
        <f t="shared" si="8"/>
        <v>3.7794333109591274</v>
      </c>
      <c r="AF38" s="24"/>
      <c r="AG38" s="202"/>
      <c r="AH38" s="191"/>
      <c r="AI38" s="37"/>
      <c r="AJ38" s="203"/>
      <c r="AK38" s="31"/>
      <c r="AL38" s="24"/>
      <c r="AM38" s="202"/>
      <c r="AN38" s="191"/>
      <c r="AO38" s="37"/>
      <c r="AP38" s="37"/>
      <c r="AQ38" s="37"/>
      <c r="AR38" s="24"/>
      <c r="AS38" s="202"/>
      <c r="AT38" s="191"/>
      <c r="AU38" s="24"/>
      <c r="AV38" s="202"/>
      <c r="AW38" s="191"/>
      <c r="AX38" s="24"/>
      <c r="AY38" s="202"/>
      <c r="AZ38" s="191"/>
      <c r="BA38" s="23"/>
      <c r="BB38" s="23"/>
      <c r="BC38" s="23"/>
      <c r="BD38" s="23"/>
      <c r="BE38" s="23"/>
      <c r="BF38" s="23"/>
      <c r="BG38" s="23"/>
      <c r="BH38" s="23"/>
      <c r="BI38" s="23"/>
      <c r="BJ38" s="24"/>
      <c r="BK38" s="202"/>
      <c r="BL38" s="191"/>
      <c r="BM38" s="37"/>
      <c r="BN38" s="203"/>
      <c r="BO38" s="31"/>
      <c r="BP38" s="24"/>
      <c r="BQ38" s="202"/>
      <c r="BR38" s="191"/>
      <c r="BS38" s="37"/>
      <c r="BT38" s="37"/>
      <c r="BU38" s="37"/>
      <c r="BV38" s="24"/>
      <c r="BW38" s="202"/>
      <c r="BX38" s="191"/>
      <c r="BY38" s="24"/>
      <c r="BZ38" s="202"/>
      <c r="CA38" s="191"/>
      <c r="CB38" s="24"/>
      <c r="CC38" s="202"/>
      <c r="CD38" s="191"/>
    </row>
    <row r="39" spans="1:82">
      <c r="A39" s="81">
        <v>9</v>
      </c>
      <c r="B39" s="82">
        <v>39.5</v>
      </c>
      <c r="C39" s="82">
        <v>64</v>
      </c>
      <c r="D39" s="82">
        <v>4</v>
      </c>
      <c r="E39" s="82">
        <v>3</v>
      </c>
      <c r="F39" s="82">
        <f t="shared" si="0"/>
        <v>3.5</v>
      </c>
      <c r="G39" s="200">
        <v>1</v>
      </c>
      <c r="H39" s="82">
        <v>0.17799999999999999</v>
      </c>
      <c r="I39" s="82">
        <v>20.3</v>
      </c>
      <c r="J39" s="179">
        <f t="shared" si="1"/>
        <v>0.87684729064039402</v>
      </c>
      <c r="K39" s="82">
        <f t="shared" si="2"/>
        <v>7.66200853858785E-2</v>
      </c>
      <c r="L39" s="3">
        <f t="shared" si="3"/>
        <v>7.3661757434268517E-12</v>
      </c>
      <c r="M39" s="3">
        <f t="shared" si="4"/>
        <v>10401609743.597256</v>
      </c>
      <c r="N39" s="29">
        <f t="shared" si="5"/>
        <v>10.401609743597255</v>
      </c>
      <c r="O39" s="30">
        <f t="shared" si="6"/>
        <v>0.87684729064039402</v>
      </c>
      <c r="P39" s="175">
        <f t="shared" si="7"/>
        <v>7.66200853858785E-2</v>
      </c>
      <c r="Q39" s="26">
        <f t="shared" si="8"/>
        <v>10.401609743597255</v>
      </c>
      <c r="AF39" s="24"/>
      <c r="AG39" s="202"/>
      <c r="AH39" s="191"/>
      <c r="AI39" s="37"/>
      <c r="AJ39" s="203"/>
      <c r="AK39" s="31"/>
      <c r="AL39" s="24"/>
      <c r="AM39" s="202"/>
      <c r="AN39" s="191"/>
      <c r="AO39" s="37"/>
      <c r="AP39" s="37"/>
      <c r="AQ39" s="37"/>
      <c r="AR39" s="24"/>
      <c r="AS39" s="202"/>
      <c r="AT39" s="191"/>
      <c r="AU39" s="24"/>
      <c r="AV39" s="202"/>
      <c r="AW39" s="191"/>
      <c r="AX39" s="24"/>
      <c r="AY39" s="202"/>
      <c r="AZ39" s="191"/>
      <c r="BA39" s="23"/>
      <c r="BB39" s="23"/>
      <c r="BC39" s="23"/>
      <c r="BD39" s="23"/>
      <c r="BE39" s="23"/>
      <c r="BF39" s="23"/>
      <c r="BG39" s="23"/>
      <c r="BH39" s="23"/>
      <c r="BI39" s="23"/>
      <c r="BJ39" s="24"/>
      <c r="BK39" s="202"/>
      <c r="BL39" s="191"/>
      <c r="BM39" s="37"/>
      <c r="BN39" s="203"/>
      <c r="BO39" s="31"/>
      <c r="BP39" s="24"/>
      <c r="BQ39" s="202"/>
      <c r="BR39" s="191"/>
      <c r="BS39" s="37"/>
      <c r="BT39" s="37"/>
      <c r="BU39" s="37"/>
      <c r="BV39" s="24"/>
      <c r="BW39" s="202"/>
      <c r="BX39" s="191"/>
      <c r="BY39" s="24"/>
      <c r="BZ39" s="202"/>
      <c r="CA39" s="191"/>
      <c r="CB39" s="24"/>
      <c r="CC39" s="202"/>
      <c r="CD39" s="191"/>
    </row>
    <row r="40" spans="1:82">
      <c r="A40" s="81">
        <v>9</v>
      </c>
      <c r="B40" s="82">
        <v>39.5</v>
      </c>
      <c r="C40" s="82">
        <v>64</v>
      </c>
      <c r="D40" s="82">
        <v>4</v>
      </c>
      <c r="E40" s="82">
        <v>3</v>
      </c>
      <c r="F40" s="82">
        <f t="shared" si="0"/>
        <v>3.5</v>
      </c>
      <c r="G40" s="200">
        <v>2</v>
      </c>
      <c r="H40" s="82">
        <v>0.14699999999999999</v>
      </c>
      <c r="I40" s="82">
        <v>21.1</v>
      </c>
      <c r="J40" s="179">
        <f t="shared" si="1"/>
        <v>0.69668246445497617</v>
      </c>
      <c r="K40" s="82">
        <f t="shared" si="2"/>
        <v>6.0877042654028435E-2</v>
      </c>
      <c r="L40" s="3">
        <f t="shared" si="3"/>
        <v>7.3661757434268517E-12</v>
      </c>
      <c r="M40" s="3">
        <f t="shared" si="4"/>
        <v>8264402693.3991604</v>
      </c>
      <c r="N40" s="29">
        <f t="shared" si="5"/>
        <v>8.2644026933991608</v>
      </c>
      <c r="O40" s="30">
        <f t="shared" si="6"/>
        <v>0.69668246445497617</v>
      </c>
      <c r="P40" s="175">
        <f t="shared" si="7"/>
        <v>6.0877042654028435E-2</v>
      </c>
      <c r="Q40" s="26">
        <f t="shared" si="8"/>
        <v>8.2644026933991608</v>
      </c>
      <c r="AF40" s="24"/>
      <c r="AG40" s="202"/>
      <c r="AH40" s="191"/>
      <c r="AI40" s="37"/>
      <c r="AJ40" s="203"/>
      <c r="AK40" s="31"/>
      <c r="AL40" s="24"/>
      <c r="AM40" s="202"/>
      <c r="AN40" s="191"/>
      <c r="AO40" s="37"/>
      <c r="AP40" s="37"/>
      <c r="AQ40" s="37"/>
      <c r="AR40" s="24"/>
      <c r="AS40" s="202"/>
      <c r="AT40" s="191"/>
      <c r="AU40" s="24"/>
      <c r="AV40" s="202"/>
      <c r="AW40" s="191"/>
      <c r="AX40" s="24"/>
      <c r="AY40" s="202"/>
      <c r="AZ40" s="191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02"/>
      <c r="BL40" s="191"/>
      <c r="BM40" s="37"/>
      <c r="BN40" s="203"/>
      <c r="BO40" s="31"/>
      <c r="BP40" s="24"/>
      <c r="BQ40" s="202"/>
      <c r="BR40" s="191"/>
      <c r="BS40" s="37"/>
      <c r="BT40" s="37"/>
      <c r="BU40" s="37"/>
      <c r="BV40" s="24"/>
      <c r="BW40" s="202"/>
      <c r="BX40" s="191"/>
      <c r="BY40" s="24"/>
      <c r="BZ40" s="202"/>
      <c r="CA40" s="191"/>
      <c r="CB40" s="24"/>
      <c r="CC40" s="202"/>
      <c r="CD40" s="191"/>
    </row>
    <row r="41" spans="1:82">
      <c r="A41" s="81">
        <v>9</v>
      </c>
      <c r="B41" s="82">
        <v>39.5</v>
      </c>
      <c r="C41" s="82">
        <v>64</v>
      </c>
      <c r="D41" s="82">
        <v>4</v>
      </c>
      <c r="E41" s="82">
        <v>3</v>
      </c>
      <c r="F41" s="82">
        <f t="shared" si="0"/>
        <v>3.5</v>
      </c>
      <c r="G41" s="200">
        <v>3</v>
      </c>
      <c r="H41" s="82">
        <v>0.155</v>
      </c>
      <c r="I41" s="82">
        <v>18.899999999999999</v>
      </c>
      <c r="J41" s="179">
        <f t="shared" si="1"/>
        <v>0.82010582010582012</v>
      </c>
      <c r="K41" s="82">
        <f t="shared" si="2"/>
        <v>7.1661940035273389E-2</v>
      </c>
      <c r="L41" s="3">
        <f t="shared" si="3"/>
        <v>7.3661757434268517E-12</v>
      </c>
      <c r="M41" s="3">
        <f t="shared" si="4"/>
        <v>9728513482.6195736</v>
      </c>
      <c r="N41" s="29">
        <f t="shared" si="5"/>
        <v>9.728513482619574</v>
      </c>
      <c r="O41" s="30">
        <f t="shared" si="6"/>
        <v>0.82010582010582012</v>
      </c>
      <c r="P41" s="175">
        <f t="shared" si="7"/>
        <v>7.1661940035273389E-2</v>
      </c>
      <c r="Q41" s="26">
        <f t="shared" si="8"/>
        <v>9.728513482619574</v>
      </c>
      <c r="AF41" s="24"/>
      <c r="AG41" s="202"/>
      <c r="AH41" s="191"/>
      <c r="AI41" s="37"/>
      <c r="AJ41" s="203"/>
      <c r="AK41" s="31"/>
      <c r="AL41" s="24"/>
      <c r="AM41" s="202"/>
      <c r="AN41" s="191"/>
      <c r="AO41" s="37"/>
      <c r="AP41" s="37"/>
      <c r="AQ41" s="37"/>
      <c r="AR41" s="24"/>
      <c r="AS41" s="202"/>
      <c r="AT41" s="191"/>
      <c r="AU41" s="24"/>
      <c r="AV41" s="202"/>
      <c r="AW41" s="191"/>
      <c r="AX41" s="24"/>
      <c r="AY41" s="202"/>
      <c r="AZ41" s="191"/>
      <c r="BA41" s="23"/>
      <c r="BB41" s="23"/>
      <c r="BC41" s="23"/>
      <c r="BD41" s="23"/>
      <c r="BE41" s="23"/>
      <c r="BF41" s="23"/>
      <c r="BG41" s="23"/>
      <c r="BH41" s="23"/>
      <c r="BI41" s="23"/>
      <c r="BJ41" s="24"/>
      <c r="BK41" s="202"/>
      <c r="BL41" s="191"/>
      <c r="BM41" s="37"/>
      <c r="BN41" s="203"/>
      <c r="BO41" s="31"/>
      <c r="BP41" s="24"/>
      <c r="BQ41" s="202"/>
      <c r="BR41" s="191"/>
      <c r="BS41" s="37"/>
      <c r="BT41" s="37"/>
      <c r="BU41" s="37"/>
      <c r="BV41" s="24"/>
      <c r="BW41" s="202"/>
      <c r="BX41" s="191"/>
      <c r="BY41" s="24"/>
      <c r="BZ41" s="202"/>
      <c r="CA41" s="191"/>
      <c r="CB41" s="24"/>
      <c r="CC41" s="202"/>
      <c r="CD41" s="191"/>
    </row>
    <row r="42" spans="1:82">
      <c r="A42" s="81">
        <v>9</v>
      </c>
      <c r="B42" s="82">
        <v>39.5</v>
      </c>
      <c r="C42" s="82">
        <v>64</v>
      </c>
      <c r="D42" s="82">
        <v>4</v>
      </c>
      <c r="E42" s="82">
        <v>3</v>
      </c>
      <c r="F42" s="82">
        <f t="shared" si="0"/>
        <v>3.5</v>
      </c>
      <c r="G42" s="200">
        <v>4</v>
      </c>
      <c r="H42" s="82">
        <v>0.09</v>
      </c>
      <c r="I42" s="82">
        <v>22.6</v>
      </c>
      <c r="J42" s="179">
        <f t="shared" si="1"/>
        <v>0.39823008849557517</v>
      </c>
      <c r="K42" s="82">
        <f t="shared" si="2"/>
        <v>3.479787610619469E-2</v>
      </c>
      <c r="L42" s="3">
        <f t="shared" si="3"/>
        <v>7.3661757434268517E-12</v>
      </c>
      <c r="M42" s="3">
        <f t="shared" si="4"/>
        <v>4724008402.4938307</v>
      </c>
      <c r="N42" s="29">
        <f t="shared" si="5"/>
        <v>4.7240084024938307</v>
      </c>
      <c r="O42" s="30">
        <f t="shared" si="6"/>
        <v>0.39823008849557517</v>
      </c>
      <c r="P42" s="175">
        <f t="shared" si="7"/>
        <v>3.479787610619469E-2</v>
      </c>
      <c r="Q42" s="26">
        <f t="shared" si="8"/>
        <v>4.7240084024938307</v>
      </c>
      <c r="AF42" s="24"/>
      <c r="AG42" s="202"/>
      <c r="AH42" s="191"/>
      <c r="AI42" s="37"/>
      <c r="AJ42" s="203"/>
      <c r="AK42" s="31"/>
      <c r="AL42" s="24"/>
      <c r="AM42" s="202"/>
      <c r="AN42" s="191"/>
      <c r="AO42" s="37"/>
      <c r="AP42" s="37"/>
      <c r="AQ42" s="37"/>
      <c r="AR42" s="24"/>
      <c r="AS42" s="202"/>
      <c r="AT42" s="191"/>
      <c r="AU42" s="24"/>
      <c r="AV42" s="202"/>
      <c r="AW42" s="191"/>
      <c r="AX42" s="24"/>
      <c r="AY42" s="202"/>
      <c r="AZ42" s="191"/>
      <c r="BA42" s="23"/>
      <c r="BB42" s="23"/>
      <c r="BC42" s="23"/>
      <c r="BD42" s="23"/>
      <c r="BE42" s="23"/>
      <c r="BF42" s="23"/>
      <c r="BG42" s="23"/>
      <c r="BH42" s="23"/>
      <c r="BI42" s="23"/>
      <c r="BJ42" s="24"/>
      <c r="BK42" s="202"/>
      <c r="BL42" s="191"/>
      <c r="BM42" s="37"/>
      <c r="BN42" s="203"/>
      <c r="BO42" s="31"/>
      <c r="BP42" s="24"/>
      <c r="BQ42" s="202"/>
      <c r="BR42" s="191"/>
      <c r="BS42" s="37"/>
      <c r="BT42" s="37"/>
      <c r="BU42" s="37"/>
      <c r="BV42" s="24"/>
      <c r="BW42" s="202"/>
      <c r="BX42" s="191"/>
      <c r="BY42" s="24"/>
      <c r="BZ42" s="202"/>
      <c r="CA42" s="191"/>
      <c r="CB42" s="24"/>
      <c r="CC42" s="202"/>
      <c r="CD42" s="191"/>
    </row>
    <row r="43" spans="1:82">
      <c r="A43" s="204">
        <v>10</v>
      </c>
      <c r="B43" s="205">
        <v>35</v>
      </c>
      <c r="C43" s="205">
        <v>59</v>
      </c>
      <c r="D43" s="205">
        <v>3.5</v>
      </c>
      <c r="E43" s="205">
        <v>2.5</v>
      </c>
      <c r="F43" s="205">
        <f t="shared" si="0"/>
        <v>3</v>
      </c>
      <c r="G43" s="206">
        <v>1</v>
      </c>
      <c r="H43" s="205">
        <v>8.3000000000000004E-2</v>
      </c>
      <c r="I43" s="205">
        <v>18.8</v>
      </c>
      <c r="J43" s="207">
        <f t="shared" si="1"/>
        <v>0.44148936170212766</v>
      </c>
      <c r="K43" s="205">
        <f t="shared" si="2"/>
        <v>3.0224214539007088E-2</v>
      </c>
      <c r="L43" s="205">
        <f t="shared" si="3"/>
        <v>3.9760782021995822E-12</v>
      </c>
      <c r="M43" s="205">
        <f t="shared" si="4"/>
        <v>7601514105.6045961</v>
      </c>
      <c r="N43" s="252">
        <f t="shared" si="5"/>
        <v>7.6015141056045961</v>
      </c>
      <c r="O43" s="207">
        <f t="shared" si="6"/>
        <v>0.44148936170212766</v>
      </c>
      <c r="P43" s="253">
        <f t="shared" si="7"/>
        <v>3.0224214539007088E-2</v>
      </c>
      <c r="Q43" s="254">
        <f t="shared" si="8"/>
        <v>7.6015141056045961</v>
      </c>
      <c r="AF43" s="24"/>
      <c r="AG43" s="202"/>
      <c r="AH43" s="191"/>
      <c r="AI43" s="37"/>
      <c r="AJ43" s="203"/>
      <c r="AK43" s="31"/>
      <c r="AL43" s="24"/>
      <c r="AM43" s="202"/>
      <c r="AN43" s="191"/>
      <c r="AO43" s="37"/>
      <c r="AP43" s="37"/>
      <c r="AQ43" s="37"/>
      <c r="AR43" s="24"/>
      <c r="AS43" s="202"/>
      <c r="AT43" s="191"/>
      <c r="AU43" s="24"/>
      <c r="AV43" s="202"/>
      <c r="AW43" s="191"/>
      <c r="AX43" s="24"/>
      <c r="AY43" s="202"/>
      <c r="AZ43" s="191"/>
      <c r="BA43" s="23"/>
      <c r="BB43" s="23"/>
      <c r="BC43" s="23"/>
      <c r="BD43" s="23"/>
      <c r="BE43" s="23"/>
      <c r="BF43" s="23"/>
      <c r="BG43" s="23"/>
      <c r="BH43" s="23"/>
      <c r="BI43" s="23"/>
      <c r="BJ43" s="24"/>
      <c r="BK43" s="202"/>
      <c r="BL43" s="191"/>
      <c r="BM43" s="37"/>
      <c r="BN43" s="203"/>
      <c r="BO43" s="31"/>
      <c r="BP43" s="24"/>
      <c r="BQ43" s="202"/>
      <c r="BR43" s="191"/>
      <c r="BS43" s="37"/>
      <c r="BT43" s="37"/>
      <c r="BU43" s="37"/>
      <c r="BV43" s="24"/>
      <c r="BW43" s="202"/>
      <c r="BX43" s="191"/>
      <c r="BY43" s="24"/>
      <c r="BZ43" s="202"/>
      <c r="CA43" s="191"/>
      <c r="CB43" s="24"/>
      <c r="CC43" s="202"/>
      <c r="CD43" s="191"/>
    </row>
    <row r="44" spans="1:82">
      <c r="A44" s="204">
        <v>10</v>
      </c>
      <c r="B44" s="205">
        <v>35</v>
      </c>
      <c r="C44" s="205">
        <v>59</v>
      </c>
      <c r="D44" s="205">
        <v>3.5</v>
      </c>
      <c r="E44" s="205">
        <v>2.5</v>
      </c>
      <c r="F44" s="205">
        <f t="shared" si="0"/>
        <v>3</v>
      </c>
      <c r="G44" s="206">
        <v>2</v>
      </c>
      <c r="H44" s="205">
        <v>8.1000000000000003E-2</v>
      </c>
      <c r="I44" s="205">
        <v>19.8</v>
      </c>
      <c r="J44" s="207">
        <f t="shared" si="1"/>
        <v>0.40909090909090906</v>
      </c>
      <c r="K44" s="205">
        <f t="shared" si="2"/>
        <v>2.8006227272727266E-2</v>
      </c>
      <c r="L44" s="205">
        <f t="shared" si="3"/>
        <v>3.9760782021995822E-12</v>
      </c>
      <c r="M44" s="205">
        <f t="shared" si="4"/>
        <v>7043681197.5262737</v>
      </c>
      <c r="N44" s="252">
        <f t="shared" si="5"/>
        <v>7.0436811975262739</v>
      </c>
      <c r="O44" s="207">
        <f t="shared" si="6"/>
        <v>0.40909090909090906</v>
      </c>
      <c r="P44" s="253">
        <f t="shared" si="7"/>
        <v>2.8006227272727266E-2</v>
      </c>
      <c r="Q44" s="254">
        <f t="shared" si="8"/>
        <v>7.0436811975262739</v>
      </c>
      <c r="AF44" s="24"/>
      <c r="AG44" s="202"/>
      <c r="AH44" s="191"/>
      <c r="AI44" s="37"/>
      <c r="AJ44" s="203"/>
      <c r="AK44" s="31"/>
      <c r="AL44" s="24"/>
      <c r="AM44" s="202"/>
      <c r="AN44" s="191"/>
      <c r="AO44" s="37"/>
      <c r="AP44" s="37"/>
      <c r="AQ44" s="37"/>
      <c r="AR44" s="24"/>
      <c r="AS44" s="202"/>
      <c r="AT44" s="191"/>
      <c r="AU44" s="24"/>
      <c r="AV44" s="202"/>
      <c r="AW44" s="191"/>
      <c r="AX44" s="24"/>
      <c r="AY44" s="202"/>
      <c r="AZ44" s="191"/>
      <c r="BA44" s="23"/>
      <c r="BB44" s="23"/>
      <c r="BC44" s="23"/>
      <c r="BD44" s="23"/>
      <c r="BE44" s="23"/>
      <c r="BF44" s="23"/>
      <c r="BG44" s="23"/>
      <c r="BH44" s="23"/>
      <c r="BI44" s="23"/>
      <c r="BJ44" s="24"/>
      <c r="BK44" s="202"/>
      <c r="BL44" s="191"/>
      <c r="BM44" s="37"/>
      <c r="BN44" s="203"/>
      <c r="BO44" s="31"/>
      <c r="BP44" s="24"/>
      <c r="BQ44" s="202"/>
      <c r="BR44" s="191"/>
      <c r="BS44" s="37"/>
      <c r="BT44" s="37"/>
      <c r="BU44" s="37"/>
      <c r="BV44" s="24"/>
      <c r="BW44" s="202"/>
      <c r="BX44" s="191"/>
      <c r="BY44" s="24"/>
      <c r="BZ44" s="202"/>
      <c r="CA44" s="191"/>
      <c r="CB44" s="24"/>
      <c r="CC44" s="202"/>
      <c r="CD44" s="191"/>
    </row>
    <row r="45" spans="1:82">
      <c r="A45" s="204">
        <v>10</v>
      </c>
      <c r="B45" s="205">
        <v>35</v>
      </c>
      <c r="C45" s="205">
        <v>59</v>
      </c>
      <c r="D45" s="205">
        <v>3.5</v>
      </c>
      <c r="E45" s="205">
        <v>2.5</v>
      </c>
      <c r="F45" s="205">
        <f t="shared" si="0"/>
        <v>3</v>
      </c>
      <c r="G45" s="206">
        <v>3</v>
      </c>
      <c r="H45" s="205">
        <v>7.2999999999999995E-2</v>
      </c>
      <c r="I45" s="205">
        <v>20.9</v>
      </c>
      <c r="J45" s="207">
        <f t="shared" si="1"/>
        <v>0.34928229665071769</v>
      </c>
      <c r="K45" s="205">
        <f t="shared" si="2"/>
        <v>2.3911749601275914E-2</v>
      </c>
      <c r="L45" s="205">
        <f t="shared" si="3"/>
        <v>3.9760782021995822E-12</v>
      </c>
      <c r="M45" s="205">
        <f t="shared" si="4"/>
        <v>6013903244.6715555</v>
      </c>
      <c r="N45" s="252">
        <f t="shared" si="5"/>
        <v>6.0139032446715559</v>
      </c>
      <c r="O45" s="207">
        <f t="shared" si="6"/>
        <v>0.34928229665071769</v>
      </c>
      <c r="P45" s="253">
        <f t="shared" si="7"/>
        <v>2.3911749601275914E-2</v>
      </c>
      <c r="Q45" s="254">
        <f t="shared" si="8"/>
        <v>6.0139032446715559</v>
      </c>
      <c r="AF45" s="24"/>
      <c r="AG45" s="202"/>
      <c r="AH45" s="191"/>
      <c r="AI45" s="37"/>
      <c r="AJ45" s="203"/>
      <c r="AK45" s="31"/>
      <c r="AL45" s="24"/>
      <c r="AM45" s="202"/>
      <c r="AN45" s="191"/>
      <c r="AO45" s="37"/>
      <c r="AP45" s="37"/>
      <c r="AQ45" s="37"/>
      <c r="AR45" s="24"/>
      <c r="AS45" s="202"/>
      <c r="AT45" s="191"/>
      <c r="AU45" s="24"/>
      <c r="AV45" s="202"/>
      <c r="AW45" s="191"/>
      <c r="AX45" s="24"/>
      <c r="AY45" s="202"/>
      <c r="AZ45" s="191"/>
      <c r="BA45" s="23"/>
      <c r="BB45" s="23"/>
      <c r="BC45" s="23"/>
      <c r="BD45" s="23"/>
      <c r="BE45" s="23"/>
      <c r="BF45" s="23"/>
      <c r="BG45" s="23"/>
      <c r="BH45" s="23"/>
      <c r="BI45" s="23"/>
      <c r="BJ45" s="24"/>
      <c r="BK45" s="202"/>
      <c r="BL45" s="191"/>
      <c r="BM45" s="37"/>
      <c r="BN45" s="203"/>
      <c r="BO45" s="31"/>
      <c r="BP45" s="24"/>
      <c r="BQ45" s="202"/>
      <c r="BR45" s="191"/>
      <c r="BS45" s="37"/>
      <c r="BT45" s="37"/>
      <c r="BU45" s="37"/>
      <c r="BV45" s="24"/>
      <c r="BW45" s="202"/>
      <c r="BX45" s="191"/>
      <c r="BY45" s="24"/>
      <c r="BZ45" s="202"/>
      <c r="CA45" s="191"/>
      <c r="CB45" s="24"/>
      <c r="CC45" s="202"/>
      <c r="CD45" s="191"/>
    </row>
    <row r="46" spans="1:82">
      <c r="A46" s="204">
        <v>10</v>
      </c>
      <c r="B46" s="205">
        <v>35</v>
      </c>
      <c r="C46" s="205">
        <v>59</v>
      </c>
      <c r="D46" s="205">
        <v>3.5</v>
      </c>
      <c r="E46" s="205">
        <v>2.5</v>
      </c>
      <c r="F46" s="205">
        <f t="shared" si="0"/>
        <v>3</v>
      </c>
      <c r="G46" s="206">
        <v>4</v>
      </c>
      <c r="H46" s="205">
        <v>0.112</v>
      </c>
      <c r="I46" s="205">
        <v>19.600000000000001</v>
      </c>
      <c r="J46" s="207">
        <f t="shared" si="1"/>
        <v>0.5714285714285714</v>
      </c>
      <c r="K46" s="205">
        <f t="shared" si="2"/>
        <v>3.9119809523809522E-2</v>
      </c>
      <c r="L46" s="205">
        <f t="shared" si="3"/>
        <v>3.9760782021995822E-12</v>
      </c>
      <c r="M46" s="205">
        <f t="shared" si="4"/>
        <v>9838792783.8462257</v>
      </c>
      <c r="N46" s="252">
        <f t="shared" si="5"/>
        <v>9.838792783846225</v>
      </c>
      <c r="O46" s="207">
        <f t="shared" si="6"/>
        <v>0.5714285714285714</v>
      </c>
      <c r="P46" s="253">
        <f t="shared" si="7"/>
        <v>3.9119809523809522E-2</v>
      </c>
      <c r="Q46" s="254">
        <f t="shared" si="8"/>
        <v>9.838792783846225</v>
      </c>
      <c r="AF46" s="24"/>
      <c r="AG46" s="202"/>
      <c r="AH46" s="191"/>
      <c r="AI46" s="37"/>
      <c r="AJ46" s="203"/>
      <c r="AK46" s="31"/>
      <c r="AL46" s="24"/>
      <c r="AM46" s="202"/>
      <c r="AN46" s="191"/>
      <c r="AO46" s="37"/>
      <c r="AP46" s="37"/>
      <c r="AQ46" s="37"/>
      <c r="AR46" s="24"/>
      <c r="AS46" s="202"/>
      <c r="AT46" s="191"/>
      <c r="AU46" s="24"/>
      <c r="AV46" s="202"/>
      <c r="AW46" s="191"/>
      <c r="AX46" s="24"/>
      <c r="AY46" s="202"/>
      <c r="AZ46" s="191"/>
      <c r="BA46" s="23"/>
      <c r="BB46" s="23"/>
      <c r="BC46" s="23"/>
      <c r="BD46" s="23"/>
      <c r="BE46" s="23"/>
      <c r="BF46" s="23"/>
      <c r="BG46" s="23"/>
      <c r="BH46" s="23"/>
      <c r="BI46" s="23"/>
      <c r="BJ46" s="24"/>
      <c r="BK46" s="202"/>
      <c r="BL46" s="191"/>
      <c r="BM46" s="37"/>
      <c r="BN46" s="203"/>
      <c r="BO46" s="31"/>
      <c r="BP46" s="24"/>
      <c r="BQ46" s="202"/>
      <c r="BR46" s="191"/>
      <c r="BS46" s="37"/>
      <c r="BT46" s="37"/>
      <c r="BU46" s="37"/>
      <c r="BV46" s="24"/>
      <c r="BW46" s="202"/>
      <c r="BX46" s="191"/>
      <c r="BY46" s="24"/>
      <c r="BZ46" s="202"/>
      <c r="CA46" s="191"/>
      <c r="CB46" s="24"/>
      <c r="CC46" s="202"/>
      <c r="CD46" s="191"/>
    </row>
    <row r="47" spans="1:82">
      <c r="A47" s="81">
        <v>11</v>
      </c>
      <c r="B47" s="82">
        <v>35</v>
      </c>
      <c r="C47" s="82">
        <v>54</v>
      </c>
      <c r="D47" s="82">
        <v>3</v>
      </c>
      <c r="E47" s="82">
        <v>2.5</v>
      </c>
      <c r="F47" s="82">
        <f t="shared" si="0"/>
        <v>2.75</v>
      </c>
      <c r="G47" s="200">
        <v>1</v>
      </c>
      <c r="H47" s="82">
        <v>7.5999999999999998E-2</v>
      </c>
      <c r="I47" s="82">
        <v>18.399999999999999</v>
      </c>
      <c r="J47" s="179">
        <f t="shared" si="1"/>
        <v>0.41304347826086957</v>
      </c>
      <c r="K47" s="82">
        <f t="shared" si="2"/>
        <v>2.1679826086956525E-2</v>
      </c>
      <c r="L47" s="3">
        <f t="shared" si="3"/>
        <v>2.8073765894292083E-12</v>
      </c>
      <c r="M47" s="3">
        <f t="shared" si="4"/>
        <v>7722450264.9872265</v>
      </c>
      <c r="N47" s="29">
        <f t="shared" si="5"/>
        <v>7.7224502649872262</v>
      </c>
      <c r="O47" s="30">
        <f t="shared" si="6"/>
        <v>0.41304347826086957</v>
      </c>
      <c r="P47" s="175">
        <f t="shared" si="7"/>
        <v>2.1679826086956525E-2</v>
      </c>
      <c r="Q47" s="26">
        <f t="shared" si="8"/>
        <v>7.7224502649872262</v>
      </c>
      <c r="AF47" s="24"/>
      <c r="AG47" s="202"/>
      <c r="AH47" s="191"/>
      <c r="AI47" s="37"/>
      <c r="AJ47" s="203"/>
      <c r="AK47" s="31"/>
      <c r="AL47" s="24"/>
      <c r="AM47" s="202"/>
      <c r="AN47" s="191"/>
      <c r="AO47" s="37"/>
      <c r="AP47" s="37"/>
      <c r="AQ47" s="37"/>
      <c r="AR47" s="24"/>
      <c r="AS47" s="202"/>
      <c r="AT47" s="191"/>
      <c r="AU47" s="24"/>
      <c r="AV47" s="202"/>
      <c r="AW47" s="191"/>
      <c r="AX47" s="24"/>
      <c r="AY47" s="202"/>
      <c r="AZ47" s="191"/>
      <c r="BA47" s="23"/>
      <c r="BB47" s="23"/>
      <c r="BC47" s="23"/>
      <c r="BD47" s="23"/>
      <c r="BE47" s="23"/>
      <c r="BF47" s="23"/>
      <c r="BG47" s="23"/>
      <c r="BH47" s="23"/>
      <c r="BI47" s="23"/>
      <c r="BJ47" s="24"/>
      <c r="BK47" s="202"/>
      <c r="BL47" s="191"/>
      <c r="BM47" s="37"/>
      <c r="BN47" s="203"/>
      <c r="BO47" s="31"/>
      <c r="BP47" s="24"/>
      <c r="BQ47" s="202"/>
      <c r="BR47" s="191"/>
      <c r="BS47" s="37"/>
      <c r="BT47" s="37"/>
      <c r="BU47" s="37"/>
      <c r="BV47" s="24"/>
      <c r="BW47" s="202"/>
      <c r="BX47" s="191"/>
      <c r="BY47" s="24"/>
      <c r="BZ47" s="202"/>
      <c r="CA47" s="191"/>
      <c r="CB47" s="24"/>
      <c r="CC47" s="202"/>
      <c r="CD47" s="191"/>
    </row>
    <row r="48" spans="1:82">
      <c r="A48" s="81">
        <v>11</v>
      </c>
      <c r="B48" s="82">
        <v>35</v>
      </c>
      <c r="C48" s="82">
        <v>54</v>
      </c>
      <c r="D48" s="82">
        <v>3</v>
      </c>
      <c r="E48" s="82">
        <v>2.5</v>
      </c>
      <c r="F48" s="82">
        <f t="shared" si="0"/>
        <v>2.75</v>
      </c>
      <c r="G48" s="200">
        <v>2</v>
      </c>
      <c r="H48" s="82">
        <v>0.13300000000000001</v>
      </c>
      <c r="I48" s="82">
        <v>19.8</v>
      </c>
      <c r="J48" s="179">
        <f t="shared" si="1"/>
        <v>0.67171717171717171</v>
      </c>
      <c r="K48" s="82">
        <f t="shared" si="2"/>
        <v>3.5257090909090912E-2</v>
      </c>
      <c r="L48" s="3">
        <f t="shared" si="3"/>
        <v>2.8073765894292083E-12</v>
      </c>
      <c r="M48" s="3">
        <f t="shared" si="4"/>
        <v>12558732249.12064</v>
      </c>
      <c r="N48" s="29">
        <f t="shared" si="5"/>
        <v>12.55873224912064</v>
      </c>
      <c r="O48" s="30">
        <f t="shared" si="6"/>
        <v>0.67171717171717171</v>
      </c>
      <c r="P48" s="175">
        <f t="shared" si="7"/>
        <v>3.5257090909090912E-2</v>
      </c>
      <c r="Q48" s="26">
        <f t="shared" si="8"/>
        <v>12.55873224912064</v>
      </c>
      <c r="AF48" s="24"/>
      <c r="AG48" s="202"/>
      <c r="AH48" s="191"/>
      <c r="AI48" s="37"/>
      <c r="AJ48" s="203"/>
      <c r="AK48" s="31"/>
      <c r="AL48" s="24"/>
      <c r="AM48" s="202"/>
      <c r="AN48" s="191"/>
      <c r="AO48" s="37"/>
      <c r="AP48" s="37"/>
      <c r="AQ48" s="37"/>
      <c r="AR48" s="24"/>
      <c r="AS48" s="202"/>
      <c r="AT48" s="191"/>
      <c r="AU48" s="24"/>
      <c r="AV48" s="202"/>
      <c r="AW48" s="191"/>
      <c r="AX48" s="24"/>
      <c r="AY48" s="202"/>
      <c r="AZ48" s="191"/>
      <c r="BA48" s="23"/>
      <c r="BB48" s="23"/>
      <c r="BC48" s="23"/>
      <c r="BD48" s="23"/>
      <c r="BE48" s="23"/>
      <c r="BF48" s="23"/>
      <c r="BG48" s="23"/>
      <c r="BH48" s="23"/>
      <c r="BI48" s="23"/>
      <c r="BJ48" s="24"/>
      <c r="BK48" s="202"/>
      <c r="BL48" s="191"/>
      <c r="BM48" s="37"/>
      <c r="BN48" s="203"/>
      <c r="BO48" s="31"/>
      <c r="BP48" s="24"/>
      <c r="BQ48" s="202"/>
      <c r="BR48" s="191"/>
      <c r="BS48" s="37"/>
      <c r="BT48" s="37"/>
      <c r="BU48" s="37"/>
      <c r="BV48" s="24"/>
      <c r="BW48" s="202"/>
      <c r="BX48" s="191"/>
      <c r="BY48" s="24"/>
      <c r="BZ48" s="202"/>
      <c r="CA48" s="191"/>
      <c r="CB48" s="24"/>
      <c r="CC48" s="202"/>
      <c r="CD48" s="191"/>
    </row>
    <row r="49" spans="1:82">
      <c r="A49" s="81">
        <v>11</v>
      </c>
      <c r="B49" s="82">
        <v>35</v>
      </c>
      <c r="C49" s="82">
        <v>54</v>
      </c>
      <c r="D49" s="82">
        <v>3</v>
      </c>
      <c r="E49" s="82">
        <v>2.5</v>
      </c>
      <c r="F49" s="82">
        <f t="shared" si="0"/>
        <v>2.75</v>
      </c>
      <c r="G49" s="200">
        <v>3</v>
      </c>
      <c r="H49" s="82">
        <v>0.111</v>
      </c>
      <c r="I49" s="82">
        <v>20.3</v>
      </c>
      <c r="J49" s="179">
        <f t="shared" si="1"/>
        <v>0.54679802955665024</v>
      </c>
      <c r="K49" s="82">
        <f t="shared" si="2"/>
        <v>2.870033497536946E-2</v>
      </c>
      <c r="L49" s="3">
        <f t="shared" si="3"/>
        <v>2.8073765894292083E-12</v>
      </c>
      <c r="M49" s="3">
        <f t="shared" si="4"/>
        <v>10223186687.328176</v>
      </c>
      <c r="N49" s="29">
        <f t="shared" si="5"/>
        <v>10.223186687328177</v>
      </c>
      <c r="O49" s="30">
        <f t="shared" si="6"/>
        <v>0.54679802955665024</v>
      </c>
      <c r="P49" s="175">
        <f t="shared" si="7"/>
        <v>2.870033497536946E-2</v>
      </c>
      <c r="Q49" s="26">
        <f t="shared" si="8"/>
        <v>10.223186687328177</v>
      </c>
      <c r="AF49" s="24"/>
      <c r="AG49" s="202"/>
      <c r="AH49" s="191"/>
      <c r="AI49" s="37"/>
      <c r="AJ49" s="203"/>
      <c r="AK49" s="31"/>
      <c r="AL49" s="24"/>
      <c r="AM49" s="202"/>
      <c r="AN49" s="191"/>
      <c r="AO49" s="37"/>
      <c r="AP49" s="37"/>
      <c r="AQ49" s="37"/>
      <c r="AR49" s="24"/>
      <c r="AS49" s="202"/>
      <c r="AT49" s="191"/>
      <c r="AU49" s="24"/>
      <c r="AV49" s="202"/>
      <c r="AW49" s="191"/>
      <c r="AX49" s="24"/>
      <c r="AY49" s="202"/>
      <c r="AZ49" s="191"/>
      <c r="BA49" s="23"/>
      <c r="BB49" s="23"/>
      <c r="BC49" s="23"/>
      <c r="BD49" s="23"/>
      <c r="BE49" s="23"/>
      <c r="BF49" s="23"/>
      <c r="BG49" s="23"/>
      <c r="BH49" s="23"/>
      <c r="BI49" s="23"/>
      <c r="BJ49" s="24"/>
      <c r="BK49" s="202"/>
      <c r="BL49" s="191"/>
      <c r="BM49" s="37"/>
      <c r="BN49" s="203"/>
      <c r="BO49" s="31"/>
      <c r="BP49" s="24"/>
      <c r="BQ49" s="202"/>
      <c r="BR49" s="191"/>
      <c r="BS49" s="37"/>
      <c r="BT49" s="37"/>
      <c r="BU49" s="37"/>
      <c r="BV49" s="24"/>
      <c r="BW49" s="202"/>
      <c r="BX49" s="191"/>
      <c r="BY49" s="24"/>
      <c r="BZ49" s="202"/>
      <c r="CA49" s="191"/>
      <c r="CB49" s="24"/>
      <c r="CC49" s="202"/>
      <c r="CD49" s="191"/>
    </row>
    <row r="50" spans="1:82">
      <c r="A50" s="81">
        <v>11</v>
      </c>
      <c r="B50" s="82">
        <v>35</v>
      </c>
      <c r="C50" s="82">
        <v>54</v>
      </c>
      <c r="D50" s="82">
        <v>3</v>
      </c>
      <c r="E50" s="82">
        <v>2.5</v>
      </c>
      <c r="F50" s="82">
        <f t="shared" si="0"/>
        <v>2.75</v>
      </c>
      <c r="G50" s="200">
        <v>4</v>
      </c>
      <c r="H50" s="82">
        <v>0.13100000000000001</v>
      </c>
      <c r="I50" s="82">
        <v>18.7</v>
      </c>
      <c r="J50" s="179">
        <f t="shared" si="1"/>
        <v>0.70053475935828879</v>
      </c>
      <c r="K50" s="82">
        <f t="shared" si="2"/>
        <v>3.6769668449197865E-2</v>
      </c>
      <c r="L50" s="3">
        <f t="shared" si="3"/>
        <v>2.8073765894292083E-12</v>
      </c>
      <c r="M50" s="3">
        <f t="shared" si="4"/>
        <v>13097519081.568541</v>
      </c>
      <c r="N50" s="29">
        <f t="shared" si="5"/>
        <v>13.09751908156854</v>
      </c>
      <c r="O50" s="30">
        <f t="shared" si="6"/>
        <v>0.70053475935828879</v>
      </c>
      <c r="P50" s="175">
        <f t="shared" si="7"/>
        <v>3.6769668449197865E-2</v>
      </c>
      <c r="Q50" s="26">
        <f t="shared" si="8"/>
        <v>13.09751908156854</v>
      </c>
      <c r="AF50" s="24"/>
      <c r="AG50" s="202"/>
      <c r="AH50" s="191"/>
      <c r="AI50" s="37"/>
      <c r="AJ50" s="203"/>
      <c r="AK50" s="31"/>
      <c r="AL50" s="24"/>
      <c r="AM50" s="202"/>
      <c r="AN50" s="191"/>
      <c r="AO50" s="37"/>
      <c r="AP50" s="37"/>
      <c r="AQ50" s="37"/>
      <c r="AR50" s="24"/>
      <c r="AS50" s="202"/>
      <c r="AT50" s="191"/>
      <c r="AU50" s="24"/>
      <c r="AV50" s="202"/>
      <c r="AW50" s="191"/>
      <c r="AX50" s="24"/>
      <c r="AY50" s="202"/>
      <c r="AZ50" s="191"/>
      <c r="BA50" s="23"/>
      <c r="BB50" s="23"/>
      <c r="BC50" s="23"/>
      <c r="BD50" s="23"/>
      <c r="BE50" s="23"/>
      <c r="BF50" s="23"/>
      <c r="BG50" s="23"/>
      <c r="BH50" s="23"/>
      <c r="BI50" s="23"/>
      <c r="BJ50" s="24"/>
      <c r="BK50" s="202"/>
      <c r="BL50" s="191"/>
      <c r="BM50" s="37"/>
      <c r="BN50" s="203"/>
      <c r="BO50" s="31"/>
      <c r="BP50" s="24"/>
      <c r="BQ50" s="202"/>
      <c r="BR50" s="191"/>
      <c r="BS50" s="37"/>
      <c r="BT50" s="37"/>
      <c r="BU50" s="37"/>
      <c r="BV50" s="24"/>
      <c r="BW50" s="202"/>
      <c r="BX50" s="191"/>
      <c r="BY50" s="24"/>
      <c r="BZ50" s="202"/>
      <c r="CA50" s="191"/>
      <c r="CB50" s="24"/>
      <c r="CC50" s="202"/>
      <c r="CD50" s="191"/>
    </row>
    <row r="51" spans="1:82">
      <c r="A51" s="204">
        <v>12</v>
      </c>
      <c r="B51" s="205">
        <v>40.5</v>
      </c>
      <c r="C51" s="205">
        <v>59</v>
      </c>
      <c r="D51" s="205">
        <v>3.5</v>
      </c>
      <c r="E51" s="205">
        <v>2.5</v>
      </c>
      <c r="F51" s="205">
        <f t="shared" si="0"/>
        <v>3</v>
      </c>
      <c r="G51" s="206">
        <v>1</v>
      </c>
      <c r="H51" s="205">
        <v>0.156</v>
      </c>
      <c r="I51" s="205">
        <v>20.100000000000001</v>
      </c>
      <c r="J51" s="207">
        <f t="shared" si="1"/>
        <v>0.77611940298507454</v>
      </c>
      <c r="K51" s="205">
        <f t="shared" si="2"/>
        <v>5.3132875621890535E-2</v>
      </c>
      <c r="L51" s="205">
        <f t="shared" si="3"/>
        <v>3.9760782021995822E-12</v>
      </c>
      <c r="M51" s="205">
        <f t="shared" si="4"/>
        <v>13363136467.612036</v>
      </c>
      <c r="N51" s="252">
        <f t="shared" si="5"/>
        <v>13.363136467612035</v>
      </c>
      <c r="O51" s="207">
        <f t="shared" si="6"/>
        <v>0.77611940298507454</v>
      </c>
      <c r="P51" s="253">
        <f t="shared" si="7"/>
        <v>5.3132875621890535E-2</v>
      </c>
      <c r="Q51" s="254">
        <f t="shared" si="8"/>
        <v>13.363136467612035</v>
      </c>
      <c r="AF51" s="24"/>
      <c r="AG51" s="202"/>
      <c r="AH51" s="191"/>
      <c r="AI51" s="37"/>
      <c r="AJ51" s="203"/>
      <c r="AK51" s="31"/>
      <c r="AL51" s="24"/>
      <c r="AM51" s="202"/>
      <c r="AN51" s="191"/>
      <c r="AO51" s="37"/>
      <c r="AP51" s="37"/>
      <c r="AQ51" s="37"/>
      <c r="AR51" s="24"/>
      <c r="AS51" s="202"/>
      <c r="AT51" s="191"/>
      <c r="AU51" s="24"/>
      <c r="AV51" s="202"/>
      <c r="AW51" s="191"/>
      <c r="AX51" s="24"/>
      <c r="AY51" s="202"/>
      <c r="AZ51" s="191"/>
      <c r="BA51" s="23"/>
      <c r="BB51" s="23"/>
      <c r="BC51" s="23"/>
      <c r="BD51" s="23"/>
      <c r="BE51" s="23"/>
      <c r="BF51" s="23"/>
      <c r="BG51" s="23"/>
      <c r="BH51" s="23"/>
      <c r="BI51" s="23"/>
      <c r="BJ51" s="24"/>
      <c r="BK51" s="202"/>
      <c r="BL51" s="191"/>
      <c r="BM51" s="37"/>
      <c r="BN51" s="203"/>
      <c r="BO51" s="31"/>
      <c r="BP51" s="24"/>
      <c r="BQ51" s="202"/>
      <c r="BR51" s="191"/>
      <c r="BS51" s="37"/>
      <c r="BT51" s="37"/>
      <c r="BU51" s="37"/>
      <c r="BV51" s="24"/>
      <c r="BW51" s="202"/>
      <c r="BX51" s="191"/>
      <c r="BY51" s="24"/>
      <c r="BZ51" s="202"/>
      <c r="CA51" s="191"/>
      <c r="CB51" s="24"/>
      <c r="CC51" s="202"/>
      <c r="CD51" s="191"/>
    </row>
    <row r="52" spans="1:82">
      <c r="A52" s="204">
        <v>12</v>
      </c>
      <c r="B52" s="205">
        <v>40.5</v>
      </c>
      <c r="C52" s="205">
        <v>59</v>
      </c>
      <c r="D52" s="205">
        <v>3.5</v>
      </c>
      <c r="E52" s="205">
        <v>2.5</v>
      </c>
      <c r="F52" s="205">
        <f t="shared" si="0"/>
        <v>3</v>
      </c>
      <c r="G52" s="206">
        <v>2</v>
      </c>
      <c r="H52" s="205">
        <v>0.13300000000000001</v>
      </c>
      <c r="I52" s="205">
        <v>20.3</v>
      </c>
      <c r="J52" s="207">
        <f t="shared" si="1"/>
        <v>0.65517241379310343</v>
      </c>
      <c r="K52" s="205">
        <f t="shared" si="2"/>
        <v>4.4852885057471259E-2</v>
      </c>
      <c r="L52" s="205">
        <f t="shared" si="3"/>
        <v>3.9760782021995822E-12</v>
      </c>
      <c r="M52" s="205">
        <f t="shared" si="4"/>
        <v>11280684829.754723</v>
      </c>
      <c r="N52" s="252">
        <f t="shared" si="5"/>
        <v>11.280684829754723</v>
      </c>
      <c r="O52" s="207">
        <f t="shared" si="6"/>
        <v>0.65517241379310343</v>
      </c>
      <c r="P52" s="253">
        <f t="shared" si="7"/>
        <v>4.4852885057471259E-2</v>
      </c>
      <c r="Q52" s="254">
        <f t="shared" si="8"/>
        <v>11.280684829754723</v>
      </c>
      <c r="AF52" s="24"/>
      <c r="AG52" s="202"/>
      <c r="AH52" s="191"/>
      <c r="AI52" s="37"/>
      <c r="AJ52" s="203"/>
      <c r="AK52" s="31"/>
      <c r="AL52" s="24"/>
      <c r="AM52" s="202"/>
      <c r="AN52" s="191"/>
      <c r="AO52" s="37"/>
      <c r="AP52" s="37"/>
      <c r="AQ52" s="37"/>
      <c r="AR52" s="24"/>
      <c r="AS52" s="202"/>
      <c r="AT52" s="191"/>
      <c r="AU52" s="24"/>
      <c r="AV52" s="202"/>
      <c r="AW52" s="191"/>
      <c r="AX52" s="24"/>
      <c r="AY52" s="202"/>
      <c r="AZ52" s="191"/>
      <c r="BA52" s="23"/>
      <c r="BB52" s="23"/>
      <c r="BC52" s="23"/>
      <c r="BD52" s="23"/>
      <c r="BE52" s="23"/>
      <c r="BF52" s="23"/>
      <c r="BG52" s="23"/>
      <c r="BH52" s="23"/>
      <c r="BI52" s="23"/>
      <c r="BJ52" s="24"/>
      <c r="BK52" s="202"/>
      <c r="BL52" s="191"/>
      <c r="BM52" s="37"/>
      <c r="BN52" s="203"/>
      <c r="BO52" s="31"/>
      <c r="BP52" s="24"/>
      <c r="BQ52" s="202"/>
      <c r="BR52" s="191"/>
      <c r="BS52" s="37"/>
      <c r="BT52" s="37"/>
      <c r="BU52" s="37"/>
      <c r="BV52" s="24"/>
      <c r="BW52" s="202"/>
      <c r="BX52" s="191"/>
      <c r="BY52" s="24"/>
      <c r="BZ52" s="202"/>
      <c r="CA52" s="191"/>
      <c r="CB52" s="24"/>
      <c r="CC52" s="202"/>
      <c r="CD52" s="191"/>
    </row>
    <row r="53" spans="1:82">
      <c r="A53" s="204">
        <v>12</v>
      </c>
      <c r="B53" s="205">
        <v>40.5</v>
      </c>
      <c r="C53" s="205">
        <v>59</v>
      </c>
      <c r="D53" s="205">
        <v>3.5</v>
      </c>
      <c r="E53" s="205">
        <v>2.5</v>
      </c>
      <c r="F53" s="205">
        <f t="shared" si="0"/>
        <v>3</v>
      </c>
      <c r="G53" s="206">
        <v>3</v>
      </c>
      <c r="H53" s="205">
        <v>0.106</v>
      </c>
      <c r="I53" s="205">
        <v>20.7</v>
      </c>
      <c r="J53" s="207">
        <f t="shared" si="1"/>
        <v>0.51207729468599039</v>
      </c>
      <c r="K53" s="205">
        <f t="shared" si="2"/>
        <v>3.5056640901771338E-2</v>
      </c>
      <c r="L53" s="205">
        <f t="shared" si="3"/>
        <v>3.9760782021995822E-12</v>
      </c>
      <c r="M53" s="205">
        <f t="shared" si="4"/>
        <v>8816889185.5240345</v>
      </c>
      <c r="N53" s="252">
        <f t="shared" si="5"/>
        <v>8.816889185524035</v>
      </c>
      <c r="O53" s="207">
        <f t="shared" si="6"/>
        <v>0.51207729468599039</v>
      </c>
      <c r="P53" s="253">
        <f t="shared" si="7"/>
        <v>3.5056640901771338E-2</v>
      </c>
      <c r="Q53" s="254">
        <f t="shared" si="8"/>
        <v>8.816889185524035</v>
      </c>
      <c r="AF53" s="24"/>
      <c r="AG53" s="202"/>
      <c r="AH53" s="191"/>
      <c r="AI53" s="37"/>
      <c r="AJ53" s="203"/>
      <c r="AK53" s="31"/>
      <c r="AL53" s="24"/>
      <c r="AM53" s="202"/>
      <c r="AN53" s="191"/>
      <c r="AO53" s="37"/>
      <c r="AP53" s="37"/>
      <c r="AQ53" s="37"/>
      <c r="AR53" s="24"/>
      <c r="AS53" s="202"/>
      <c r="AT53" s="191"/>
      <c r="AU53" s="24"/>
      <c r="AV53" s="202"/>
      <c r="AW53" s="191"/>
      <c r="AX53" s="24"/>
      <c r="AY53" s="202"/>
      <c r="AZ53" s="191"/>
      <c r="BA53" s="23"/>
      <c r="BB53" s="23"/>
      <c r="BC53" s="23"/>
      <c r="BD53" s="23"/>
      <c r="BE53" s="23"/>
      <c r="BF53" s="23"/>
      <c r="BG53" s="23"/>
      <c r="BH53" s="23"/>
      <c r="BI53" s="23"/>
      <c r="BJ53" s="24"/>
      <c r="BK53" s="202"/>
      <c r="BL53" s="191"/>
      <c r="BM53" s="37"/>
      <c r="BN53" s="203"/>
      <c r="BO53" s="31"/>
      <c r="BP53" s="24"/>
      <c r="BQ53" s="202"/>
      <c r="BR53" s="191"/>
      <c r="BS53" s="37"/>
      <c r="BT53" s="37"/>
      <c r="BU53" s="37"/>
      <c r="BV53" s="24"/>
      <c r="BW53" s="202"/>
      <c r="BX53" s="191"/>
      <c r="BY53" s="24"/>
      <c r="BZ53" s="202"/>
      <c r="CA53" s="191"/>
      <c r="CB53" s="24"/>
      <c r="CC53" s="202"/>
      <c r="CD53" s="191"/>
    </row>
    <row r="54" spans="1:82">
      <c r="A54" s="204">
        <v>12</v>
      </c>
      <c r="B54" s="205">
        <v>40.5</v>
      </c>
      <c r="C54" s="205">
        <v>59</v>
      </c>
      <c r="D54" s="205">
        <v>3.5</v>
      </c>
      <c r="E54" s="205">
        <v>2.5</v>
      </c>
      <c r="F54" s="205">
        <f t="shared" si="0"/>
        <v>3</v>
      </c>
      <c r="G54" s="206">
        <v>4</v>
      </c>
      <c r="H54" s="205">
        <v>0.10100000000000001</v>
      </c>
      <c r="I54" s="205">
        <v>20.2</v>
      </c>
      <c r="J54" s="207">
        <f t="shared" si="1"/>
        <v>0.50000000000000011</v>
      </c>
      <c r="K54" s="205">
        <f t="shared" si="2"/>
        <v>3.4229833333333341E-2</v>
      </c>
      <c r="L54" s="205">
        <f t="shared" si="3"/>
        <v>3.9760782021995822E-12</v>
      </c>
      <c r="M54" s="205">
        <f t="shared" si="4"/>
        <v>8608943685.8654499</v>
      </c>
      <c r="N54" s="252">
        <f t="shared" si="5"/>
        <v>8.6089436858654498</v>
      </c>
      <c r="O54" s="207">
        <f t="shared" si="6"/>
        <v>0.50000000000000011</v>
      </c>
      <c r="P54" s="253">
        <f t="shared" si="7"/>
        <v>3.4229833333333341E-2</v>
      </c>
      <c r="Q54" s="254">
        <f t="shared" si="8"/>
        <v>8.6089436858654498</v>
      </c>
      <c r="AF54" s="24"/>
      <c r="AG54" s="202"/>
      <c r="AH54" s="191"/>
      <c r="AI54" s="37"/>
      <c r="AJ54" s="203"/>
      <c r="AK54" s="31"/>
      <c r="AL54" s="24"/>
      <c r="AM54" s="202"/>
      <c r="AN54" s="191"/>
      <c r="AO54" s="37"/>
      <c r="AP54" s="37"/>
      <c r="AQ54" s="37"/>
      <c r="AR54" s="24"/>
      <c r="AS54" s="202"/>
      <c r="AT54" s="191"/>
      <c r="AU54" s="24"/>
      <c r="AV54" s="202"/>
      <c r="AW54" s="191"/>
      <c r="AX54" s="24"/>
      <c r="AY54" s="202"/>
      <c r="AZ54" s="191"/>
      <c r="BA54" s="23"/>
      <c r="BB54" s="23"/>
      <c r="BC54" s="23"/>
      <c r="BD54" s="23"/>
      <c r="BE54" s="23"/>
      <c r="BF54" s="23"/>
      <c r="BG54" s="23"/>
      <c r="BH54" s="23"/>
      <c r="BI54" s="23"/>
      <c r="BJ54" s="24"/>
      <c r="BK54" s="202"/>
      <c r="BL54" s="191"/>
      <c r="BM54" s="37"/>
      <c r="BN54" s="203"/>
      <c r="BO54" s="31"/>
      <c r="BP54" s="24"/>
      <c r="BQ54" s="202"/>
      <c r="BR54" s="191"/>
      <c r="BS54" s="37"/>
      <c r="BT54" s="37"/>
      <c r="BU54" s="37"/>
      <c r="BV54" s="24"/>
      <c r="BW54" s="202"/>
      <c r="BX54" s="191"/>
      <c r="BY54" s="24"/>
      <c r="BZ54" s="202"/>
      <c r="CA54" s="191"/>
      <c r="CB54" s="24"/>
      <c r="CC54" s="202"/>
      <c r="CD54" s="191"/>
    </row>
    <row r="55" spans="1:82">
      <c r="A55" s="81">
        <v>13</v>
      </c>
      <c r="B55" s="82">
        <v>37</v>
      </c>
      <c r="C55" s="82">
        <v>54</v>
      </c>
      <c r="D55" s="82">
        <v>3.5</v>
      </c>
      <c r="E55" s="82">
        <v>2.5</v>
      </c>
      <c r="F55" s="82">
        <f t="shared" si="0"/>
        <v>3</v>
      </c>
      <c r="G55" s="200">
        <v>1</v>
      </c>
      <c r="H55" s="82">
        <v>0.10199999999999999</v>
      </c>
      <c r="I55" s="82">
        <v>17.8</v>
      </c>
      <c r="J55" s="179">
        <f t="shared" si="1"/>
        <v>0.5730337078651685</v>
      </c>
      <c r="K55" s="82">
        <f t="shared" si="2"/>
        <v>3.0077393258426968E-2</v>
      </c>
      <c r="L55" s="3">
        <f t="shared" si="3"/>
        <v>3.9760782021995822E-12</v>
      </c>
      <c r="M55" s="3">
        <f t="shared" si="4"/>
        <v>7564587950.4553089</v>
      </c>
      <c r="N55" s="29">
        <f t="shared" si="5"/>
        <v>7.5645879504553086</v>
      </c>
      <c r="O55" s="30">
        <f t="shared" si="6"/>
        <v>0.5730337078651685</v>
      </c>
      <c r="P55" s="175">
        <f t="shared" si="7"/>
        <v>3.0077393258426968E-2</v>
      </c>
      <c r="Q55" s="26">
        <f t="shared" si="8"/>
        <v>7.5645879504553086</v>
      </c>
      <c r="AF55" s="24"/>
      <c r="AG55" s="202"/>
      <c r="AH55" s="191"/>
      <c r="AI55" s="37"/>
      <c r="AJ55" s="203"/>
      <c r="AK55" s="31"/>
      <c r="AL55" s="24"/>
      <c r="AM55" s="202"/>
      <c r="AN55" s="191"/>
      <c r="AO55" s="37"/>
      <c r="AP55" s="37"/>
      <c r="AQ55" s="37"/>
      <c r="AR55" s="24"/>
      <c r="AS55" s="202"/>
      <c r="AT55" s="191"/>
      <c r="AU55" s="24"/>
      <c r="AV55" s="202"/>
      <c r="AW55" s="191"/>
      <c r="AX55" s="24"/>
      <c r="AY55" s="202"/>
      <c r="AZ55" s="191"/>
      <c r="BA55" s="23"/>
      <c r="BB55" s="23"/>
      <c r="BC55" s="23"/>
      <c r="BD55" s="23"/>
      <c r="BE55" s="23"/>
      <c r="BF55" s="23"/>
      <c r="BG55" s="23"/>
      <c r="BH55" s="23"/>
      <c r="BI55" s="23"/>
      <c r="BJ55" s="24"/>
      <c r="BK55" s="202"/>
      <c r="BL55" s="191"/>
      <c r="BM55" s="37"/>
      <c r="BN55" s="203"/>
      <c r="BO55" s="31"/>
      <c r="BP55" s="24"/>
      <c r="BQ55" s="202"/>
      <c r="BR55" s="191"/>
      <c r="BS55" s="37"/>
      <c r="BT55" s="37"/>
      <c r="BU55" s="37"/>
      <c r="BV55" s="24"/>
      <c r="BW55" s="202"/>
      <c r="BX55" s="191"/>
      <c r="BY55" s="24"/>
      <c r="BZ55" s="202"/>
      <c r="CA55" s="191"/>
      <c r="CB55" s="24"/>
      <c r="CC55" s="202"/>
      <c r="CD55" s="191"/>
    </row>
    <row r="56" spans="1:82">
      <c r="A56" s="81">
        <v>13</v>
      </c>
      <c r="B56" s="82">
        <v>37</v>
      </c>
      <c r="C56" s="82">
        <v>54</v>
      </c>
      <c r="D56" s="82">
        <v>3.5</v>
      </c>
      <c r="E56" s="82">
        <v>2.5</v>
      </c>
      <c r="F56" s="82">
        <f t="shared" si="0"/>
        <v>3</v>
      </c>
      <c r="G56" s="200">
        <v>2</v>
      </c>
      <c r="H56" s="82">
        <v>0.106</v>
      </c>
      <c r="I56" s="82">
        <v>19</v>
      </c>
      <c r="J56" s="179">
        <f t="shared" si="1"/>
        <v>0.55789473684210522</v>
      </c>
      <c r="K56" s="82">
        <f t="shared" si="2"/>
        <v>2.9282778947368426E-2</v>
      </c>
      <c r="L56" s="3">
        <f t="shared" si="3"/>
        <v>3.9760782021995822E-12</v>
      </c>
      <c r="M56" s="3">
        <f t="shared" si="4"/>
        <v>7364739187.2647467</v>
      </c>
      <c r="N56" s="29">
        <f t="shared" si="5"/>
        <v>7.364739187264747</v>
      </c>
      <c r="O56" s="30">
        <f t="shared" si="6"/>
        <v>0.55789473684210522</v>
      </c>
      <c r="P56" s="175">
        <f t="shared" si="7"/>
        <v>2.9282778947368426E-2</v>
      </c>
      <c r="Q56" s="26">
        <f t="shared" si="8"/>
        <v>7.364739187264747</v>
      </c>
      <c r="AF56" s="24"/>
      <c r="AG56" s="202"/>
      <c r="AH56" s="191"/>
      <c r="AI56" s="37"/>
      <c r="AJ56" s="203"/>
      <c r="AK56" s="31"/>
      <c r="AL56" s="24"/>
      <c r="AM56" s="202"/>
      <c r="AN56" s="191"/>
      <c r="AO56" s="37"/>
      <c r="AP56" s="37"/>
      <c r="AQ56" s="37"/>
      <c r="AR56" s="24"/>
      <c r="AS56" s="202"/>
      <c r="AT56" s="191"/>
      <c r="AU56" s="24"/>
      <c r="AV56" s="202"/>
      <c r="AW56" s="191"/>
      <c r="AX56" s="24"/>
      <c r="AY56" s="202"/>
      <c r="AZ56" s="191"/>
      <c r="BA56" s="23"/>
      <c r="BB56" s="23"/>
      <c r="BC56" s="23"/>
      <c r="BD56" s="23"/>
      <c r="BE56" s="23"/>
      <c r="BF56" s="23"/>
      <c r="BG56" s="23"/>
      <c r="BH56" s="23"/>
      <c r="BI56" s="23"/>
      <c r="BJ56" s="24"/>
      <c r="BK56" s="202"/>
      <c r="BL56" s="191"/>
      <c r="BM56" s="37"/>
      <c r="BN56" s="203"/>
      <c r="BO56" s="31"/>
      <c r="BP56" s="24"/>
      <c r="BQ56" s="202"/>
      <c r="BR56" s="191"/>
      <c r="BS56" s="37"/>
      <c r="BT56" s="37"/>
      <c r="BU56" s="37"/>
      <c r="BV56" s="24"/>
      <c r="BW56" s="202"/>
      <c r="BX56" s="191"/>
      <c r="BY56" s="24"/>
      <c r="BZ56" s="202"/>
      <c r="CA56" s="191"/>
      <c r="CB56" s="24"/>
      <c r="CC56" s="202"/>
      <c r="CD56" s="191"/>
    </row>
    <row r="57" spans="1:82">
      <c r="A57" s="81">
        <v>13</v>
      </c>
      <c r="B57" s="82">
        <v>37</v>
      </c>
      <c r="C57" s="82">
        <v>54</v>
      </c>
      <c r="D57" s="82">
        <v>3.5</v>
      </c>
      <c r="E57" s="82">
        <v>2.5</v>
      </c>
      <c r="F57" s="82">
        <f t="shared" si="0"/>
        <v>3</v>
      </c>
      <c r="G57" s="200">
        <v>3</v>
      </c>
      <c r="H57" s="82">
        <v>0.111</v>
      </c>
      <c r="I57" s="82">
        <v>19.600000000000001</v>
      </c>
      <c r="J57" s="179">
        <f t="shared" si="1"/>
        <v>0.56632653061224492</v>
      </c>
      <c r="K57" s="82">
        <f t="shared" si="2"/>
        <v>2.9725346938775515E-2</v>
      </c>
      <c r="L57" s="3">
        <f t="shared" si="3"/>
        <v>3.9760782021995822E-12</v>
      </c>
      <c r="M57" s="3">
        <f t="shared" si="4"/>
        <v>7476046854.9967995</v>
      </c>
      <c r="N57" s="29">
        <f t="shared" si="5"/>
        <v>7.4760468549967998</v>
      </c>
      <c r="O57" s="30">
        <f t="shared" si="6"/>
        <v>0.56632653061224492</v>
      </c>
      <c r="P57" s="175">
        <f t="shared" si="7"/>
        <v>2.9725346938775515E-2</v>
      </c>
      <c r="Q57" s="26">
        <f t="shared" si="8"/>
        <v>7.4760468549967998</v>
      </c>
      <c r="AF57" s="24"/>
      <c r="AG57" s="202"/>
      <c r="AH57" s="191"/>
      <c r="AI57" s="37"/>
      <c r="AJ57" s="203"/>
      <c r="AK57" s="31"/>
      <c r="AL57" s="24"/>
      <c r="AM57" s="202"/>
      <c r="AN57" s="191"/>
      <c r="AO57" s="37"/>
      <c r="AP57" s="37"/>
      <c r="AQ57" s="37"/>
      <c r="AR57" s="24"/>
      <c r="AS57" s="202"/>
      <c r="AT57" s="191"/>
      <c r="AU57" s="24"/>
      <c r="AV57" s="202"/>
      <c r="AW57" s="191"/>
      <c r="AX57" s="24"/>
      <c r="AY57" s="202"/>
      <c r="AZ57" s="191"/>
      <c r="BA57" s="23"/>
      <c r="BB57" s="23"/>
      <c r="BC57" s="23"/>
      <c r="BD57" s="23"/>
      <c r="BE57" s="23"/>
      <c r="BF57" s="23"/>
      <c r="BG57" s="23"/>
      <c r="BH57" s="23"/>
      <c r="BI57" s="23"/>
      <c r="BJ57" s="24"/>
      <c r="BK57" s="202"/>
      <c r="BL57" s="191"/>
      <c r="BM57" s="37"/>
      <c r="BN57" s="203"/>
      <c r="BO57" s="31"/>
      <c r="BP57" s="24"/>
      <c r="BQ57" s="202"/>
      <c r="BR57" s="191"/>
      <c r="BS57" s="37"/>
      <c r="BT57" s="37"/>
      <c r="BU57" s="37"/>
      <c r="BV57" s="24"/>
      <c r="BW57" s="202"/>
      <c r="BX57" s="191"/>
      <c r="BY57" s="24"/>
      <c r="BZ57" s="202"/>
      <c r="CA57" s="191"/>
      <c r="CB57" s="24"/>
      <c r="CC57" s="202"/>
      <c r="CD57" s="191"/>
    </row>
    <row r="58" spans="1:82">
      <c r="A58" s="81">
        <v>13</v>
      </c>
      <c r="B58" s="82">
        <v>37</v>
      </c>
      <c r="C58" s="82">
        <v>54</v>
      </c>
      <c r="D58" s="82">
        <v>3.5</v>
      </c>
      <c r="E58" s="82">
        <v>2.5</v>
      </c>
      <c r="F58" s="82">
        <f t="shared" si="0"/>
        <v>3</v>
      </c>
      <c r="G58" s="200">
        <v>4</v>
      </c>
      <c r="H58" s="82">
        <v>0.10199999999999999</v>
      </c>
      <c r="I58" s="82">
        <v>20.7</v>
      </c>
      <c r="J58" s="179">
        <f t="shared" si="1"/>
        <v>0.49275362318840576</v>
      </c>
      <c r="K58" s="82">
        <f t="shared" si="2"/>
        <v>2.5863652173913048E-2</v>
      </c>
      <c r="L58" s="3">
        <f t="shared" si="3"/>
        <v>3.9760782021995822E-12</v>
      </c>
      <c r="M58" s="3">
        <f t="shared" si="4"/>
        <v>6504814759.328721</v>
      </c>
      <c r="N58" s="29">
        <f t="shared" si="5"/>
        <v>6.5048147593287213</v>
      </c>
      <c r="O58" s="30">
        <f t="shared" si="6"/>
        <v>0.49275362318840576</v>
      </c>
      <c r="P58" s="175">
        <f t="shared" si="7"/>
        <v>2.5863652173913048E-2</v>
      </c>
      <c r="Q58" s="26">
        <f t="shared" si="8"/>
        <v>6.5048147593287213</v>
      </c>
      <c r="AF58" s="24"/>
      <c r="AG58" s="202"/>
      <c r="AH58" s="191"/>
      <c r="AI58" s="37"/>
      <c r="AJ58" s="203"/>
      <c r="AK58" s="31"/>
      <c r="AL58" s="24"/>
      <c r="AM58" s="202"/>
      <c r="AN58" s="191"/>
      <c r="AO58" s="37"/>
      <c r="AP58" s="37"/>
      <c r="AQ58" s="37"/>
      <c r="AR58" s="24"/>
      <c r="AS58" s="202"/>
      <c r="AT58" s="191"/>
      <c r="AU58" s="24"/>
      <c r="AV58" s="202"/>
      <c r="AW58" s="191"/>
      <c r="AX58" s="24"/>
      <c r="AY58" s="202"/>
      <c r="AZ58" s="191"/>
      <c r="BA58" s="23"/>
      <c r="BB58" s="23"/>
      <c r="BC58" s="23"/>
      <c r="BD58" s="23"/>
      <c r="BE58" s="23"/>
      <c r="BF58" s="23"/>
      <c r="BG58" s="23"/>
      <c r="BH58" s="23"/>
      <c r="BI58" s="23"/>
      <c r="BJ58" s="24"/>
      <c r="BK58" s="202"/>
      <c r="BL58" s="191"/>
      <c r="BM58" s="37"/>
      <c r="BN58" s="203"/>
      <c r="BO58" s="31"/>
      <c r="BP58" s="24"/>
      <c r="BQ58" s="202"/>
      <c r="BR58" s="191"/>
      <c r="BS58" s="37"/>
      <c r="BT58" s="37"/>
      <c r="BU58" s="37"/>
      <c r="BV58" s="24"/>
      <c r="BW58" s="202"/>
      <c r="BX58" s="191"/>
      <c r="BY58" s="24"/>
      <c r="BZ58" s="202"/>
      <c r="CA58" s="191"/>
      <c r="CB58" s="24"/>
      <c r="CC58" s="202"/>
      <c r="CD58" s="191"/>
    </row>
    <row r="59" spans="1:82">
      <c r="A59" s="204">
        <v>14</v>
      </c>
      <c r="B59" s="205">
        <v>40</v>
      </c>
      <c r="C59" s="205">
        <v>60</v>
      </c>
      <c r="D59" s="205">
        <v>4.5</v>
      </c>
      <c r="E59" s="205">
        <v>3.5</v>
      </c>
      <c r="F59" s="205">
        <f t="shared" si="0"/>
        <v>4</v>
      </c>
      <c r="G59" s="206">
        <v>1</v>
      </c>
      <c r="H59" s="205">
        <v>0.188</v>
      </c>
      <c r="I59" s="205">
        <v>20.2</v>
      </c>
      <c r="J59" s="207">
        <f t="shared" si="1"/>
        <v>0.93069306930693074</v>
      </c>
      <c r="K59" s="205">
        <f t="shared" si="2"/>
        <v>6.7009900990099014E-2</v>
      </c>
      <c r="L59" s="205">
        <f t="shared" si="3"/>
        <v>1.2566370614359172E-11</v>
      </c>
      <c r="M59" s="205">
        <f t="shared" si="4"/>
        <v>5332478489.3363752</v>
      </c>
      <c r="N59" s="252">
        <f t="shared" si="5"/>
        <v>5.332478489336375</v>
      </c>
      <c r="O59" s="207">
        <f t="shared" si="6"/>
        <v>0.93069306930693074</v>
      </c>
      <c r="P59" s="253">
        <f t="shared" si="7"/>
        <v>6.7009900990099014E-2</v>
      </c>
      <c r="Q59" s="254">
        <f t="shared" si="8"/>
        <v>5.332478489336375</v>
      </c>
      <c r="AF59" s="24"/>
      <c r="AG59" s="202"/>
      <c r="AH59" s="191"/>
      <c r="AI59" s="37"/>
      <c r="AJ59" s="203"/>
      <c r="AK59" s="31"/>
      <c r="AL59" s="24"/>
      <c r="AM59" s="202"/>
      <c r="AN59" s="191"/>
      <c r="AO59" s="37"/>
      <c r="AP59" s="37"/>
      <c r="AQ59" s="37"/>
      <c r="AR59" s="24"/>
      <c r="AS59" s="202"/>
      <c r="AT59" s="191"/>
      <c r="AU59" s="24"/>
      <c r="AV59" s="202"/>
      <c r="AW59" s="191"/>
      <c r="AX59" s="24"/>
      <c r="AY59" s="202"/>
      <c r="AZ59" s="191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02"/>
      <c r="BL59" s="191"/>
      <c r="BM59" s="37"/>
      <c r="BN59" s="203"/>
      <c r="BO59" s="31"/>
      <c r="BP59" s="24"/>
      <c r="BQ59" s="202"/>
      <c r="BR59" s="191"/>
      <c r="BS59" s="37"/>
      <c r="BT59" s="37"/>
      <c r="BU59" s="37"/>
      <c r="BV59" s="24"/>
      <c r="BW59" s="202"/>
      <c r="BX59" s="191"/>
      <c r="BY59" s="24"/>
      <c r="BZ59" s="202"/>
      <c r="CA59" s="191"/>
      <c r="CB59" s="24"/>
      <c r="CC59" s="202"/>
      <c r="CD59" s="191"/>
    </row>
    <row r="60" spans="1:82">
      <c r="A60" s="204">
        <v>14</v>
      </c>
      <c r="B60" s="205">
        <v>40</v>
      </c>
      <c r="C60" s="205">
        <v>60</v>
      </c>
      <c r="D60" s="205">
        <v>4.5</v>
      </c>
      <c r="E60" s="205">
        <v>3.5</v>
      </c>
      <c r="F60" s="205">
        <f t="shared" si="0"/>
        <v>4</v>
      </c>
      <c r="G60" s="206">
        <v>2</v>
      </c>
      <c r="H60" s="205">
        <v>0.17299999999999999</v>
      </c>
      <c r="I60" s="205">
        <v>20.9</v>
      </c>
      <c r="J60" s="207">
        <f t="shared" si="1"/>
        <v>0.82775119617224879</v>
      </c>
      <c r="K60" s="205">
        <f t="shared" si="2"/>
        <v>5.9598086124401907E-2</v>
      </c>
      <c r="L60" s="205">
        <f t="shared" si="3"/>
        <v>1.2566370614359172E-11</v>
      </c>
      <c r="M60" s="205">
        <f t="shared" si="4"/>
        <v>4742665002.7575312</v>
      </c>
      <c r="N60" s="252">
        <f t="shared" si="5"/>
        <v>4.7426650027575308</v>
      </c>
      <c r="O60" s="207">
        <f t="shared" si="6"/>
        <v>0.82775119617224879</v>
      </c>
      <c r="P60" s="253">
        <f t="shared" si="7"/>
        <v>5.9598086124401907E-2</v>
      </c>
      <c r="Q60" s="254">
        <f t="shared" si="8"/>
        <v>4.7426650027575308</v>
      </c>
      <c r="AF60" s="24"/>
      <c r="AG60" s="202"/>
      <c r="AH60" s="191"/>
      <c r="AI60" s="37"/>
      <c r="AJ60" s="203"/>
      <c r="AK60" s="31"/>
      <c r="AL60" s="24"/>
      <c r="AM60" s="202"/>
      <c r="AN60" s="191"/>
      <c r="AO60" s="37"/>
      <c r="AP60" s="37"/>
      <c r="AQ60" s="37"/>
      <c r="AR60" s="24"/>
      <c r="AS60" s="202"/>
      <c r="AT60" s="191"/>
      <c r="AU60" s="24"/>
      <c r="AV60" s="202"/>
      <c r="AW60" s="191"/>
      <c r="AX60" s="24"/>
      <c r="AY60" s="202"/>
      <c r="AZ60" s="191"/>
      <c r="BA60" s="23"/>
      <c r="BB60" s="23"/>
      <c r="BC60" s="23"/>
      <c r="BD60" s="23"/>
      <c r="BE60" s="23"/>
      <c r="BF60" s="23"/>
      <c r="BG60" s="23"/>
      <c r="BH60" s="23"/>
      <c r="BI60" s="23"/>
      <c r="BJ60" s="24"/>
      <c r="BK60" s="202"/>
      <c r="BL60" s="191"/>
      <c r="BM60" s="37"/>
      <c r="BN60" s="203"/>
      <c r="BO60" s="31"/>
      <c r="BP60" s="24"/>
      <c r="BQ60" s="202"/>
      <c r="BR60" s="191"/>
      <c r="BS60" s="37"/>
      <c r="BT60" s="37"/>
      <c r="BU60" s="37"/>
      <c r="BV60" s="24"/>
      <c r="BW60" s="202"/>
      <c r="BX60" s="191"/>
      <c r="BY60" s="24"/>
      <c r="BZ60" s="202"/>
      <c r="CA60" s="191"/>
      <c r="CB60" s="24"/>
      <c r="CC60" s="202"/>
      <c r="CD60" s="191"/>
    </row>
    <row r="61" spans="1:82">
      <c r="A61" s="204">
        <v>14</v>
      </c>
      <c r="B61" s="205">
        <v>40</v>
      </c>
      <c r="C61" s="205">
        <v>60</v>
      </c>
      <c r="D61" s="205">
        <v>4.5</v>
      </c>
      <c r="E61" s="205">
        <v>3.5</v>
      </c>
      <c r="F61" s="205">
        <f t="shared" si="0"/>
        <v>4</v>
      </c>
      <c r="G61" s="206">
        <v>3</v>
      </c>
      <c r="H61" s="205">
        <v>0.16300000000000001</v>
      </c>
      <c r="I61" s="205">
        <v>22.4</v>
      </c>
      <c r="J61" s="207">
        <f t="shared" si="1"/>
        <v>0.72767857142857151</v>
      </c>
      <c r="K61" s="205">
        <f t="shared" si="2"/>
        <v>5.2392857142857151E-2</v>
      </c>
      <c r="L61" s="205">
        <f t="shared" si="3"/>
        <v>1.2566370614359172E-11</v>
      </c>
      <c r="M61" s="205">
        <f t="shared" si="4"/>
        <v>4169291098.4966164</v>
      </c>
      <c r="N61" s="252">
        <f t="shared" si="5"/>
        <v>4.1692910984966165</v>
      </c>
      <c r="O61" s="207">
        <f t="shared" si="6"/>
        <v>0.72767857142857151</v>
      </c>
      <c r="P61" s="253">
        <f t="shared" si="7"/>
        <v>5.2392857142857151E-2</v>
      </c>
      <c r="Q61" s="254">
        <f t="shared" si="8"/>
        <v>4.1692910984966165</v>
      </c>
      <c r="AF61" s="24"/>
      <c r="AG61" s="202"/>
      <c r="AH61" s="191"/>
      <c r="AI61" s="37"/>
      <c r="AJ61" s="203"/>
      <c r="AK61" s="31"/>
      <c r="AL61" s="24"/>
      <c r="AM61" s="202"/>
      <c r="AN61" s="191"/>
      <c r="AO61" s="37"/>
      <c r="AP61" s="37"/>
      <c r="AQ61" s="37"/>
      <c r="AR61" s="24"/>
      <c r="AS61" s="202"/>
      <c r="AT61" s="191"/>
      <c r="AU61" s="24"/>
      <c r="AV61" s="202"/>
      <c r="AW61" s="191"/>
      <c r="AX61" s="24"/>
      <c r="AY61" s="202"/>
      <c r="AZ61" s="191"/>
      <c r="BA61" s="23"/>
      <c r="BB61" s="23"/>
      <c r="BC61" s="23"/>
      <c r="BD61" s="23"/>
      <c r="BE61" s="23"/>
      <c r="BF61" s="23"/>
      <c r="BG61" s="23"/>
      <c r="BH61" s="23"/>
      <c r="BI61" s="23"/>
      <c r="BJ61" s="24"/>
      <c r="BK61" s="202"/>
      <c r="BL61" s="191"/>
      <c r="BM61" s="37"/>
      <c r="BN61" s="203"/>
      <c r="BO61" s="31"/>
      <c r="BP61" s="24"/>
      <c r="BQ61" s="202"/>
      <c r="BR61" s="191"/>
      <c r="BS61" s="37"/>
      <c r="BT61" s="37"/>
      <c r="BU61" s="37"/>
      <c r="BV61" s="24"/>
      <c r="BW61" s="202"/>
      <c r="BX61" s="191"/>
      <c r="BY61" s="24"/>
      <c r="BZ61" s="202"/>
      <c r="CA61" s="191"/>
      <c r="CB61" s="24"/>
      <c r="CC61" s="202"/>
      <c r="CD61" s="191"/>
    </row>
    <row r="62" spans="1:82">
      <c r="A62" s="204">
        <v>14</v>
      </c>
      <c r="B62" s="205">
        <v>40</v>
      </c>
      <c r="C62" s="205">
        <v>60</v>
      </c>
      <c r="D62" s="205">
        <v>4.5</v>
      </c>
      <c r="E62" s="205">
        <v>3.5</v>
      </c>
      <c r="F62" s="205">
        <f t="shared" si="0"/>
        <v>4</v>
      </c>
      <c r="G62" s="206">
        <v>4</v>
      </c>
      <c r="H62" s="205">
        <v>0.161</v>
      </c>
      <c r="I62" s="205">
        <v>22</v>
      </c>
      <c r="J62" s="207">
        <f t="shared" si="1"/>
        <v>0.73181818181818181</v>
      </c>
      <c r="K62" s="205">
        <f t="shared" si="2"/>
        <v>5.2690909090909094E-2</v>
      </c>
      <c r="L62" s="205">
        <f t="shared" si="3"/>
        <v>1.2566370614359172E-11</v>
      </c>
      <c r="M62" s="205">
        <f t="shared" si="4"/>
        <v>4193009318.9119339</v>
      </c>
      <c r="N62" s="252">
        <f t="shared" si="5"/>
        <v>4.1930093189119342</v>
      </c>
      <c r="O62" s="207">
        <f t="shared" si="6"/>
        <v>0.73181818181818181</v>
      </c>
      <c r="P62" s="253">
        <f t="shared" si="7"/>
        <v>5.2690909090909094E-2</v>
      </c>
      <c r="Q62" s="254">
        <f t="shared" si="8"/>
        <v>4.1930093189119342</v>
      </c>
      <c r="AF62" s="24"/>
      <c r="AG62" s="202"/>
      <c r="AH62" s="191"/>
      <c r="AI62" s="37"/>
      <c r="AJ62" s="203"/>
      <c r="AK62" s="31"/>
      <c r="AL62" s="24"/>
      <c r="AM62" s="202"/>
      <c r="AN62" s="191"/>
      <c r="AO62" s="37"/>
      <c r="AP62" s="37"/>
      <c r="AQ62" s="37"/>
      <c r="AR62" s="24"/>
      <c r="AS62" s="202"/>
      <c r="AT62" s="191"/>
      <c r="AU62" s="24"/>
      <c r="AV62" s="202"/>
      <c r="AW62" s="191"/>
      <c r="AX62" s="24"/>
      <c r="AY62" s="202"/>
      <c r="AZ62" s="191"/>
      <c r="BA62" s="23"/>
      <c r="BB62" s="23"/>
      <c r="BC62" s="23"/>
      <c r="BD62" s="23"/>
      <c r="BE62" s="23"/>
      <c r="BF62" s="23"/>
      <c r="BG62" s="23"/>
      <c r="BH62" s="23"/>
      <c r="BI62" s="23"/>
      <c r="BJ62" s="24"/>
      <c r="BK62" s="202"/>
      <c r="BL62" s="191"/>
      <c r="BM62" s="37"/>
      <c r="BN62" s="203"/>
      <c r="BO62" s="31"/>
      <c r="BP62" s="24"/>
      <c r="BQ62" s="202"/>
      <c r="BR62" s="191"/>
      <c r="BS62" s="37"/>
      <c r="BT62" s="37"/>
      <c r="BU62" s="37"/>
      <c r="BV62" s="24"/>
      <c r="BW62" s="202"/>
      <c r="BX62" s="191"/>
      <c r="BY62" s="24"/>
      <c r="BZ62" s="202"/>
      <c r="CA62" s="191"/>
      <c r="CB62" s="24"/>
      <c r="CC62" s="202"/>
      <c r="CD62" s="191"/>
    </row>
    <row r="63" spans="1:82">
      <c r="A63" s="81">
        <v>15</v>
      </c>
      <c r="B63" s="82">
        <v>30</v>
      </c>
      <c r="C63" s="82">
        <v>40.5</v>
      </c>
      <c r="D63" s="82">
        <v>3.5</v>
      </c>
      <c r="E63" s="82">
        <v>3</v>
      </c>
      <c r="F63" s="82">
        <f t="shared" si="0"/>
        <v>3.25</v>
      </c>
      <c r="G63" s="200">
        <v>1</v>
      </c>
      <c r="H63" s="82">
        <v>0.13100000000000001</v>
      </c>
      <c r="I63" s="82">
        <v>17.3</v>
      </c>
      <c r="J63" s="179">
        <f t="shared" si="1"/>
        <v>0.75722543352601157</v>
      </c>
      <c r="K63" s="82">
        <f t="shared" si="2"/>
        <v>1.676752673410405E-2</v>
      </c>
      <c r="L63" s="3">
        <f t="shared" si="3"/>
        <v>5.4765031603502276E-12</v>
      </c>
      <c r="M63" s="3">
        <f t="shared" si="4"/>
        <v>3061721365.4692297</v>
      </c>
      <c r="N63" s="29">
        <f t="shared" si="5"/>
        <v>3.0617213654692299</v>
      </c>
      <c r="O63" s="30">
        <f t="shared" si="6"/>
        <v>0.75722543352601157</v>
      </c>
      <c r="P63" s="175">
        <f t="shared" si="7"/>
        <v>1.676752673410405E-2</v>
      </c>
      <c r="Q63" s="26">
        <f t="shared" si="8"/>
        <v>3.0617213654692299</v>
      </c>
      <c r="AF63" s="24"/>
      <c r="AG63" s="202"/>
      <c r="AH63" s="191"/>
      <c r="AI63" s="37"/>
      <c r="AJ63" s="203"/>
      <c r="AK63" s="31"/>
      <c r="AL63" s="24"/>
      <c r="AM63" s="202"/>
      <c r="AN63" s="191"/>
      <c r="AO63" s="37"/>
      <c r="AP63" s="37"/>
      <c r="AQ63" s="37"/>
      <c r="AR63" s="24"/>
      <c r="AS63" s="202"/>
      <c r="AT63" s="191"/>
      <c r="AU63" s="24"/>
      <c r="AV63" s="202"/>
      <c r="AW63" s="191"/>
      <c r="AX63" s="24"/>
      <c r="AY63" s="202"/>
      <c r="AZ63" s="191"/>
      <c r="BA63" s="23"/>
      <c r="BB63" s="23"/>
      <c r="BC63" s="23"/>
      <c r="BD63" s="23"/>
      <c r="BE63" s="23"/>
      <c r="BF63" s="23"/>
      <c r="BG63" s="23"/>
      <c r="BH63" s="23"/>
      <c r="BI63" s="23"/>
      <c r="BJ63" s="24"/>
      <c r="BK63" s="202"/>
      <c r="BL63" s="191"/>
      <c r="BM63" s="37"/>
      <c r="BN63" s="203"/>
      <c r="BO63" s="31"/>
      <c r="BP63" s="24"/>
      <c r="BQ63" s="202"/>
      <c r="BR63" s="191"/>
      <c r="BS63" s="37"/>
      <c r="BT63" s="37"/>
      <c r="BU63" s="37"/>
      <c r="BV63" s="24"/>
      <c r="BW63" s="202"/>
      <c r="BX63" s="191"/>
      <c r="BY63" s="24"/>
      <c r="BZ63" s="202"/>
      <c r="CA63" s="191"/>
      <c r="CB63" s="24"/>
      <c r="CC63" s="202"/>
      <c r="CD63" s="191"/>
    </row>
    <row r="64" spans="1:82">
      <c r="A64" s="81">
        <v>15</v>
      </c>
      <c r="B64" s="82">
        <v>30</v>
      </c>
      <c r="C64" s="82">
        <v>40.5</v>
      </c>
      <c r="D64" s="82">
        <v>3.5</v>
      </c>
      <c r="E64" s="82">
        <v>3</v>
      </c>
      <c r="F64" s="82">
        <f t="shared" si="0"/>
        <v>3.25</v>
      </c>
      <c r="G64" s="200">
        <v>2</v>
      </c>
      <c r="H64" s="82">
        <v>3.3000000000000002E-2</v>
      </c>
      <c r="I64" s="82">
        <v>16.899999999999999</v>
      </c>
      <c r="J64" s="179">
        <f t="shared" si="1"/>
        <v>0.19526627218934914</v>
      </c>
      <c r="K64" s="82">
        <f t="shared" si="2"/>
        <v>4.3238542899408303E-3</v>
      </c>
      <c r="L64" s="3">
        <f t="shared" si="3"/>
        <v>5.4765031603502276E-12</v>
      </c>
      <c r="M64" s="3">
        <f t="shared" si="4"/>
        <v>789528310.92026901</v>
      </c>
      <c r="N64" s="29">
        <f t="shared" si="5"/>
        <v>0.78952831092026898</v>
      </c>
      <c r="O64" s="30">
        <f t="shared" si="6"/>
        <v>0.19526627218934914</v>
      </c>
      <c r="P64" s="175">
        <f t="shared" si="7"/>
        <v>4.3238542899408303E-3</v>
      </c>
      <c r="Q64" s="26">
        <f t="shared" si="8"/>
        <v>0.78952831092026898</v>
      </c>
      <c r="AF64" s="24"/>
      <c r="AG64" s="202"/>
      <c r="AH64" s="191"/>
      <c r="AI64" s="37"/>
      <c r="AJ64" s="203"/>
      <c r="AK64" s="31"/>
      <c r="AL64" s="24"/>
      <c r="AM64" s="202"/>
      <c r="AN64" s="191"/>
      <c r="AO64" s="37"/>
      <c r="AP64" s="37"/>
      <c r="AQ64" s="37"/>
      <c r="AR64" s="24"/>
      <c r="AS64" s="202"/>
      <c r="AT64" s="191"/>
      <c r="AU64" s="24"/>
      <c r="AV64" s="202"/>
      <c r="AW64" s="191"/>
      <c r="AX64" s="24"/>
      <c r="AY64" s="202"/>
      <c r="AZ64" s="191"/>
      <c r="BA64" s="23"/>
      <c r="BB64" s="23"/>
      <c r="BC64" s="23"/>
      <c r="BD64" s="23"/>
      <c r="BE64" s="23"/>
      <c r="BF64" s="23"/>
      <c r="BG64" s="23"/>
      <c r="BH64" s="23"/>
      <c r="BI64" s="23"/>
      <c r="BJ64" s="24"/>
      <c r="BK64" s="202"/>
      <c r="BL64" s="191"/>
      <c r="BM64" s="37"/>
      <c r="BN64" s="203"/>
      <c r="BO64" s="31"/>
      <c r="BP64" s="24"/>
      <c r="BQ64" s="202"/>
      <c r="BR64" s="191"/>
      <c r="BS64" s="37"/>
      <c r="BT64" s="37"/>
      <c r="BU64" s="37"/>
      <c r="BV64" s="24"/>
      <c r="BW64" s="202"/>
      <c r="BX64" s="191"/>
      <c r="BY64" s="24"/>
      <c r="BZ64" s="202"/>
      <c r="CA64" s="191"/>
      <c r="CB64" s="24"/>
      <c r="CC64" s="202"/>
      <c r="CD64" s="191"/>
    </row>
    <row r="65" spans="1:82">
      <c r="A65" s="81">
        <v>15</v>
      </c>
      <c r="B65" s="82">
        <v>30</v>
      </c>
      <c r="C65" s="82">
        <v>40.5</v>
      </c>
      <c r="D65" s="82">
        <v>3.5</v>
      </c>
      <c r="E65" s="82">
        <v>3</v>
      </c>
      <c r="F65" s="82">
        <f t="shared" si="0"/>
        <v>3.25</v>
      </c>
      <c r="G65" s="200">
        <v>3</v>
      </c>
      <c r="H65" s="82">
        <v>5.3999999999999999E-2</v>
      </c>
      <c r="I65" s="82">
        <v>17.3</v>
      </c>
      <c r="J65" s="179">
        <f t="shared" si="1"/>
        <v>0.31213872832369938</v>
      </c>
      <c r="K65" s="82">
        <f t="shared" si="2"/>
        <v>6.9118049132947989E-3</v>
      </c>
      <c r="L65" s="3">
        <f t="shared" si="3"/>
        <v>5.4765031603502276E-12</v>
      </c>
      <c r="M65" s="3">
        <f t="shared" si="4"/>
        <v>1262083616.300293</v>
      </c>
      <c r="N65" s="29">
        <f t="shared" si="5"/>
        <v>1.2620836163002929</v>
      </c>
      <c r="O65" s="30">
        <f t="shared" si="6"/>
        <v>0.31213872832369938</v>
      </c>
      <c r="P65" s="175">
        <f t="shared" si="7"/>
        <v>6.9118049132947989E-3</v>
      </c>
      <c r="Q65" s="26">
        <f t="shared" si="8"/>
        <v>1.2620836163002929</v>
      </c>
      <c r="AF65" s="24"/>
      <c r="AG65" s="202"/>
      <c r="AH65" s="191"/>
      <c r="AI65" s="37"/>
      <c r="AJ65" s="203"/>
      <c r="AK65" s="31"/>
      <c r="AL65" s="24"/>
      <c r="AM65" s="202"/>
      <c r="AN65" s="191"/>
      <c r="AO65" s="37"/>
      <c r="AP65" s="37"/>
      <c r="AQ65" s="37"/>
      <c r="AR65" s="24"/>
      <c r="AS65" s="202"/>
      <c r="AT65" s="191"/>
      <c r="AU65" s="24"/>
      <c r="AV65" s="202"/>
      <c r="AW65" s="191"/>
      <c r="AX65" s="24"/>
      <c r="AY65" s="202"/>
      <c r="AZ65" s="191"/>
      <c r="BA65" s="23"/>
      <c r="BB65" s="23"/>
      <c r="BC65" s="23"/>
      <c r="BD65" s="23"/>
      <c r="BE65" s="23"/>
      <c r="BF65" s="23"/>
      <c r="BG65" s="23"/>
      <c r="BH65" s="23"/>
      <c r="BI65" s="23"/>
      <c r="BJ65" s="24"/>
      <c r="BK65" s="202"/>
      <c r="BL65" s="191"/>
      <c r="BM65" s="37"/>
      <c r="BN65" s="203"/>
      <c r="BO65" s="31"/>
      <c r="BP65" s="24"/>
      <c r="BQ65" s="202"/>
      <c r="BR65" s="191"/>
      <c r="BS65" s="37"/>
      <c r="BT65" s="37"/>
      <c r="BU65" s="37"/>
      <c r="BV65" s="24"/>
      <c r="BW65" s="202"/>
      <c r="BX65" s="191"/>
      <c r="BY65" s="24"/>
      <c r="BZ65" s="202"/>
      <c r="CA65" s="191"/>
      <c r="CB65" s="24"/>
      <c r="CC65" s="202"/>
      <c r="CD65" s="191"/>
    </row>
    <row r="66" spans="1:82">
      <c r="A66" s="81">
        <v>15</v>
      </c>
      <c r="B66" s="82">
        <v>30</v>
      </c>
      <c r="C66" s="82">
        <v>40.5</v>
      </c>
      <c r="D66" s="82">
        <v>3.5</v>
      </c>
      <c r="E66" s="82">
        <v>3</v>
      </c>
      <c r="F66" s="82">
        <f t="shared" si="0"/>
        <v>3.25</v>
      </c>
      <c r="G66" s="200">
        <v>4</v>
      </c>
      <c r="H66" s="82">
        <v>8.5999999999999993E-2</v>
      </c>
      <c r="I66" s="82">
        <v>16.600000000000001</v>
      </c>
      <c r="J66" s="179">
        <f t="shared" si="1"/>
        <v>0.5180722891566264</v>
      </c>
      <c r="K66" s="82">
        <f t="shared" si="2"/>
        <v>1.1471868975903616E-2</v>
      </c>
      <c r="L66" s="3">
        <f t="shared" si="3"/>
        <v>5.4765031603502276E-12</v>
      </c>
      <c r="M66" s="3">
        <f t="shared" si="4"/>
        <v>2094743422.9491031</v>
      </c>
      <c r="N66" s="29">
        <f t="shared" si="5"/>
        <v>2.0947434229491031</v>
      </c>
      <c r="O66" s="30">
        <f t="shared" si="6"/>
        <v>0.5180722891566264</v>
      </c>
      <c r="P66" s="175">
        <f t="shared" si="7"/>
        <v>1.1471868975903616E-2</v>
      </c>
      <c r="Q66" s="26">
        <f t="shared" si="8"/>
        <v>2.0947434229491031</v>
      </c>
      <c r="AF66" s="24"/>
      <c r="AG66" s="202"/>
      <c r="AH66" s="191"/>
      <c r="AI66" s="37"/>
      <c r="AJ66" s="203"/>
      <c r="AK66" s="31"/>
      <c r="AL66" s="24"/>
      <c r="AM66" s="202"/>
      <c r="AN66" s="191"/>
      <c r="AO66" s="37"/>
      <c r="AP66" s="37"/>
      <c r="AQ66" s="37"/>
      <c r="AR66" s="24"/>
      <c r="AS66" s="202"/>
      <c r="AT66" s="191"/>
      <c r="AU66" s="24"/>
      <c r="AV66" s="202"/>
      <c r="AW66" s="191"/>
      <c r="AX66" s="24"/>
      <c r="AY66" s="202"/>
      <c r="AZ66" s="191"/>
      <c r="BA66" s="23"/>
      <c r="BB66" s="23"/>
      <c r="BC66" s="23"/>
      <c r="BD66" s="23"/>
      <c r="BE66" s="23"/>
      <c r="BF66" s="23"/>
      <c r="BG66" s="23"/>
      <c r="BH66" s="23"/>
      <c r="BI66" s="23"/>
      <c r="BJ66" s="24"/>
      <c r="BK66" s="202"/>
      <c r="BL66" s="191"/>
      <c r="BM66" s="37"/>
      <c r="BN66" s="203"/>
      <c r="BO66" s="31"/>
      <c r="BP66" s="24"/>
      <c r="BQ66" s="202"/>
      <c r="BR66" s="191"/>
      <c r="BS66" s="37"/>
      <c r="BT66" s="37"/>
      <c r="BU66" s="37"/>
      <c r="BV66" s="24"/>
      <c r="BW66" s="202"/>
      <c r="BX66" s="191"/>
      <c r="BY66" s="24"/>
      <c r="BZ66" s="202"/>
      <c r="CA66" s="191"/>
      <c r="CB66" s="24"/>
      <c r="CC66" s="202"/>
      <c r="CD66" s="191"/>
    </row>
    <row r="67" spans="1:82">
      <c r="A67" s="204">
        <v>16</v>
      </c>
      <c r="B67" s="205">
        <v>41.5</v>
      </c>
      <c r="C67" s="205">
        <v>63</v>
      </c>
      <c r="D67" s="205">
        <v>4</v>
      </c>
      <c r="E67" s="205">
        <v>2.5</v>
      </c>
      <c r="F67" s="205">
        <f>AVERAGE(D67:E67)</f>
        <v>3.25</v>
      </c>
      <c r="G67" s="206">
        <v>1</v>
      </c>
      <c r="H67" s="205">
        <v>0.17499999999999999</v>
      </c>
      <c r="I67" s="205">
        <v>21.7</v>
      </c>
      <c r="J67" s="207">
        <f t="shared" si="1"/>
        <v>0.80645161290322576</v>
      </c>
      <c r="K67" s="205">
        <f t="shared" si="2"/>
        <v>6.7216935483870963E-2</v>
      </c>
      <c r="L67" s="205">
        <f t="shared" si="3"/>
        <v>5.4765031603502276E-12</v>
      </c>
      <c r="M67" s="205">
        <f t="shared" si="4"/>
        <v>12273696100.555592</v>
      </c>
      <c r="N67" s="252">
        <f t="shared" si="5"/>
        <v>12.273696100555592</v>
      </c>
      <c r="O67" s="207">
        <f t="shared" si="6"/>
        <v>0.80645161290322576</v>
      </c>
      <c r="P67" s="253">
        <f t="shared" si="7"/>
        <v>6.7216935483870963E-2</v>
      </c>
      <c r="Q67" s="254">
        <f t="shared" si="8"/>
        <v>12.273696100555592</v>
      </c>
      <c r="AF67" s="24"/>
      <c r="AG67" s="202"/>
      <c r="AH67" s="191"/>
      <c r="AI67" s="37"/>
      <c r="AJ67" s="203"/>
      <c r="AK67" s="31"/>
      <c r="AL67" s="24"/>
      <c r="AM67" s="202"/>
      <c r="AN67" s="191"/>
      <c r="AO67" s="37"/>
      <c r="AP67" s="37"/>
      <c r="AQ67" s="37"/>
      <c r="AR67" s="24"/>
      <c r="AS67" s="202"/>
      <c r="AT67" s="191"/>
      <c r="AU67" s="24"/>
      <c r="AV67" s="202"/>
      <c r="AW67" s="191"/>
      <c r="AX67" s="24"/>
      <c r="AY67" s="202"/>
      <c r="AZ67" s="191"/>
      <c r="BA67" s="23"/>
      <c r="BB67" s="23"/>
      <c r="BC67" s="23"/>
      <c r="BD67" s="23"/>
      <c r="BE67" s="23"/>
      <c r="BF67" s="23"/>
      <c r="BG67" s="23"/>
      <c r="BH67" s="23"/>
      <c r="BI67" s="23"/>
      <c r="BJ67" s="24"/>
      <c r="BK67" s="202"/>
      <c r="BL67" s="191"/>
      <c r="BM67" s="37"/>
      <c r="BN67" s="203"/>
      <c r="BO67" s="31"/>
      <c r="BP67" s="24"/>
      <c r="BQ67" s="202"/>
      <c r="BR67" s="191"/>
      <c r="BS67" s="37"/>
      <c r="BT67" s="37"/>
      <c r="BU67" s="37"/>
      <c r="BV67" s="24"/>
      <c r="BW67" s="202"/>
      <c r="BX67" s="191"/>
      <c r="BY67" s="24"/>
      <c r="BZ67" s="202"/>
      <c r="CA67" s="191"/>
      <c r="CB67" s="24"/>
      <c r="CC67" s="202"/>
      <c r="CD67" s="191"/>
    </row>
    <row r="68" spans="1:82">
      <c r="A68" s="204">
        <v>16</v>
      </c>
      <c r="B68" s="205">
        <v>41.5</v>
      </c>
      <c r="C68" s="205">
        <v>63</v>
      </c>
      <c r="D68" s="205">
        <v>4</v>
      </c>
      <c r="E68" s="205">
        <v>2.5</v>
      </c>
      <c r="F68" s="205">
        <f t="shared" ref="F68:F126" si="9">AVERAGE(D68:E68)</f>
        <v>3.25</v>
      </c>
      <c r="G68" s="206">
        <v>2</v>
      </c>
      <c r="H68" s="205">
        <v>0.17599999999999999</v>
      </c>
      <c r="I68" s="205">
        <v>23.4</v>
      </c>
      <c r="J68" s="207">
        <f t="shared" si="1"/>
        <v>0.75213675213675213</v>
      </c>
      <c r="K68" s="205">
        <f t="shared" si="2"/>
        <v>6.2689846153846165E-2</v>
      </c>
      <c r="L68" s="205">
        <f t="shared" si="3"/>
        <v>5.4765031603502276E-12</v>
      </c>
      <c r="M68" s="205">
        <f t="shared" si="4"/>
        <v>11447057423.013903</v>
      </c>
      <c r="N68" s="252">
        <f t="shared" si="5"/>
        <v>11.447057423013902</v>
      </c>
      <c r="O68" s="207">
        <f t="shared" si="6"/>
        <v>0.75213675213675213</v>
      </c>
      <c r="P68" s="253">
        <f t="shared" si="7"/>
        <v>6.2689846153846165E-2</v>
      </c>
      <c r="Q68" s="254">
        <f t="shared" si="8"/>
        <v>11.447057423013902</v>
      </c>
      <c r="AF68" s="24"/>
      <c r="AG68" s="202"/>
      <c r="AH68" s="191"/>
      <c r="AI68" s="37"/>
      <c r="AJ68" s="203"/>
      <c r="AK68" s="31"/>
      <c r="AL68" s="24"/>
      <c r="AM68" s="202"/>
      <c r="AN68" s="191"/>
      <c r="AO68" s="37"/>
      <c r="AP68" s="37"/>
      <c r="AQ68" s="37"/>
      <c r="AR68" s="24"/>
      <c r="AS68" s="202"/>
      <c r="AT68" s="191"/>
      <c r="AU68" s="24"/>
      <c r="AV68" s="202"/>
      <c r="AW68" s="191"/>
      <c r="AX68" s="24"/>
      <c r="AY68" s="202"/>
      <c r="AZ68" s="191"/>
      <c r="BA68" s="23"/>
      <c r="BB68" s="23"/>
      <c r="BC68" s="23"/>
      <c r="BD68" s="23"/>
      <c r="BE68" s="23"/>
      <c r="BF68" s="23"/>
      <c r="BG68" s="23"/>
      <c r="BH68" s="23"/>
      <c r="BI68" s="23"/>
      <c r="BJ68" s="24"/>
      <c r="BK68" s="202"/>
      <c r="BL68" s="191"/>
      <c r="BM68" s="37"/>
      <c r="BN68" s="203"/>
      <c r="BO68" s="31"/>
      <c r="BP68" s="24"/>
      <c r="BQ68" s="202"/>
      <c r="BR68" s="191"/>
      <c r="BS68" s="37"/>
      <c r="BT68" s="37"/>
      <c r="BU68" s="37"/>
      <c r="BV68" s="24"/>
      <c r="BW68" s="202"/>
      <c r="BX68" s="191"/>
      <c r="BY68" s="24"/>
      <c r="BZ68" s="202"/>
      <c r="CA68" s="191"/>
      <c r="CB68" s="24"/>
      <c r="CC68" s="202"/>
      <c r="CD68" s="191"/>
    </row>
    <row r="69" spans="1:82">
      <c r="A69" s="204">
        <v>16</v>
      </c>
      <c r="B69" s="205">
        <v>41.5</v>
      </c>
      <c r="C69" s="205">
        <v>63</v>
      </c>
      <c r="D69" s="205">
        <v>4</v>
      </c>
      <c r="E69" s="205">
        <v>2.5</v>
      </c>
      <c r="F69" s="205">
        <f t="shared" si="9"/>
        <v>3.25</v>
      </c>
      <c r="G69" s="206">
        <v>3</v>
      </c>
      <c r="H69" s="205">
        <v>0.19900000000000001</v>
      </c>
      <c r="I69" s="205">
        <v>23.2</v>
      </c>
      <c r="J69" s="207">
        <f t="shared" si="1"/>
        <v>0.85775862068965525</v>
      </c>
      <c r="K69" s="205">
        <f t="shared" si="2"/>
        <v>7.1493323275862081E-2</v>
      </c>
      <c r="L69" s="205">
        <f t="shared" si="3"/>
        <v>5.4765031603502276E-12</v>
      </c>
      <c r="M69" s="205">
        <f t="shared" si="4"/>
        <v>13054557111.090942</v>
      </c>
      <c r="N69" s="252">
        <f t="shared" si="5"/>
        <v>13.054557111090942</v>
      </c>
      <c r="O69" s="207">
        <f t="shared" si="6"/>
        <v>0.85775862068965525</v>
      </c>
      <c r="P69" s="253">
        <f t="shared" si="7"/>
        <v>7.1493323275862081E-2</v>
      </c>
      <c r="Q69" s="254">
        <f t="shared" si="8"/>
        <v>13.054557111090942</v>
      </c>
      <c r="AF69" s="24"/>
      <c r="AG69" s="202"/>
      <c r="AH69" s="191"/>
      <c r="AI69" s="37"/>
      <c r="AJ69" s="203"/>
      <c r="AK69" s="31"/>
      <c r="AL69" s="24"/>
      <c r="AM69" s="202"/>
      <c r="AN69" s="191"/>
      <c r="AO69" s="37"/>
      <c r="AP69" s="37"/>
      <c r="AQ69" s="37"/>
      <c r="AR69" s="24"/>
      <c r="AS69" s="202"/>
      <c r="AT69" s="191"/>
      <c r="AU69" s="24"/>
      <c r="AV69" s="202"/>
      <c r="AW69" s="191"/>
      <c r="AX69" s="24"/>
      <c r="AY69" s="202"/>
      <c r="AZ69" s="191"/>
      <c r="BA69" s="23"/>
      <c r="BB69" s="23"/>
      <c r="BC69" s="23"/>
      <c r="BD69" s="23"/>
      <c r="BE69" s="23"/>
      <c r="BF69" s="23"/>
      <c r="BG69" s="23"/>
      <c r="BH69" s="23"/>
      <c r="BI69" s="23"/>
      <c r="BJ69" s="24"/>
      <c r="BK69" s="202"/>
      <c r="BL69" s="191"/>
      <c r="BM69" s="37"/>
      <c r="BN69" s="203"/>
      <c r="BO69" s="31"/>
      <c r="BP69" s="24"/>
      <c r="BQ69" s="202"/>
      <c r="BR69" s="191"/>
      <c r="BS69" s="37"/>
      <c r="BT69" s="37"/>
      <c r="BU69" s="37"/>
      <c r="BV69" s="24"/>
      <c r="BW69" s="202"/>
      <c r="BX69" s="191"/>
      <c r="BY69" s="24"/>
      <c r="BZ69" s="202"/>
      <c r="CA69" s="191"/>
      <c r="CB69" s="24"/>
      <c r="CC69" s="202"/>
      <c r="CD69" s="191"/>
    </row>
    <row r="70" spans="1:82">
      <c r="A70" s="204">
        <v>16</v>
      </c>
      <c r="B70" s="205">
        <v>41.5</v>
      </c>
      <c r="C70" s="205">
        <v>63</v>
      </c>
      <c r="D70" s="205">
        <v>4</v>
      </c>
      <c r="E70" s="205">
        <v>2.5</v>
      </c>
      <c r="F70" s="205">
        <f t="shared" si="9"/>
        <v>3.25</v>
      </c>
      <c r="G70" s="206">
        <v>4</v>
      </c>
      <c r="H70" s="209">
        <v>0.04</v>
      </c>
      <c r="I70" s="205">
        <v>23.9</v>
      </c>
      <c r="J70" s="207">
        <f t="shared" si="1"/>
        <v>0.16736401673640169</v>
      </c>
      <c r="K70" s="205">
        <f t="shared" si="2"/>
        <v>1.3949623430962345E-2</v>
      </c>
      <c r="L70" s="205">
        <f t="shared" si="3"/>
        <v>5.4765031603502276E-12</v>
      </c>
      <c r="M70" s="205">
        <f t="shared" si="4"/>
        <v>2547177098.692709</v>
      </c>
      <c r="N70" s="252">
        <f t="shared" si="5"/>
        <v>2.5471770986927091</v>
      </c>
      <c r="O70" s="207">
        <f t="shared" si="6"/>
        <v>0.16736401673640169</v>
      </c>
      <c r="P70" s="253">
        <f t="shared" si="7"/>
        <v>1.3949623430962345E-2</v>
      </c>
      <c r="Q70" s="254">
        <f t="shared" si="8"/>
        <v>2.5471770986927091</v>
      </c>
      <c r="AF70" s="24"/>
      <c r="AG70" s="202"/>
      <c r="AH70" s="191"/>
      <c r="AI70" s="37"/>
      <c r="AJ70" s="203"/>
      <c r="AK70" s="31"/>
      <c r="AL70" s="24"/>
      <c r="AM70" s="202"/>
      <c r="AN70" s="191"/>
      <c r="AO70" s="37"/>
      <c r="AP70" s="37"/>
      <c r="AQ70" s="37"/>
      <c r="AR70" s="24"/>
      <c r="AS70" s="202"/>
      <c r="AT70" s="191"/>
      <c r="AU70" s="24"/>
      <c r="AV70" s="202"/>
      <c r="AW70" s="191"/>
      <c r="AX70" s="24"/>
      <c r="AY70" s="202"/>
      <c r="AZ70" s="191"/>
      <c r="BA70" s="23"/>
      <c r="BB70" s="23"/>
      <c r="BC70" s="23"/>
      <c r="BD70" s="23"/>
      <c r="BE70" s="23"/>
      <c r="BF70" s="23"/>
      <c r="BG70" s="23"/>
      <c r="BH70" s="23"/>
      <c r="BI70" s="23"/>
      <c r="BJ70" s="24"/>
      <c r="BK70" s="202"/>
      <c r="BL70" s="191"/>
      <c r="BM70" s="37"/>
      <c r="BN70" s="203"/>
      <c r="BO70" s="31"/>
      <c r="BP70" s="24"/>
      <c r="BQ70" s="202"/>
      <c r="BR70" s="191"/>
      <c r="BS70" s="37"/>
      <c r="BT70" s="37"/>
      <c r="BU70" s="37"/>
      <c r="BV70" s="24"/>
      <c r="BW70" s="202"/>
      <c r="BX70" s="191"/>
      <c r="BY70" s="24"/>
      <c r="BZ70" s="202"/>
      <c r="CA70" s="191"/>
      <c r="CB70" s="24"/>
      <c r="CC70" s="202"/>
      <c r="CD70" s="191"/>
    </row>
    <row r="71" spans="1:82">
      <c r="A71" s="81">
        <v>17</v>
      </c>
      <c r="B71" s="82">
        <v>41.5</v>
      </c>
      <c r="C71" s="82">
        <v>48</v>
      </c>
      <c r="D71" s="82">
        <v>4.5</v>
      </c>
      <c r="E71" s="82">
        <v>2.5</v>
      </c>
      <c r="F71" s="82">
        <f t="shared" si="9"/>
        <v>3.5</v>
      </c>
      <c r="G71" s="200">
        <v>1</v>
      </c>
      <c r="H71" s="82">
        <v>6.0999999999999999E-2</v>
      </c>
      <c r="I71" s="82">
        <v>14.9</v>
      </c>
      <c r="J71" s="179">
        <f t="shared" si="1"/>
        <v>0.40939597315436244</v>
      </c>
      <c r="K71" s="82">
        <f t="shared" si="2"/>
        <v>1.5091973154362415E-2</v>
      </c>
      <c r="L71" s="3">
        <f t="shared" si="3"/>
        <v>7.3661757434268517E-12</v>
      </c>
      <c r="M71" s="3">
        <f t="shared" si="4"/>
        <v>2048820674.3953424</v>
      </c>
      <c r="N71" s="29">
        <f t="shared" si="5"/>
        <v>2.0488206743953423</v>
      </c>
      <c r="O71" s="30">
        <f t="shared" si="6"/>
        <v>0.40939597315436244</v>
      </c>
      <c r="P71" s="175">
        <f t="shared" si="7"/>
        <v>1.5091973154362415E-2</v>
      </c>
      <c r="Q71" s="26">
        <f t="shared" si="8"/>
        <v>2.0488206743953423</v>
      </c>
      <c r="AF71" s="24"/>
      <c r="AG71" s="202"/>
      <c r="AH71" s="191"/>
      <c r="AI71" s="37"/>
      <c r="AJ71" s="203"/>
      <c r="AK71" s="31"/>
      <c r="AL71" s="24"/>
      <c r="AM71" s="202"/>
      <c r="AN71" s="191"/>
      <c r="AO71" s="37"/>
      <c r="AP71" s="37"/>
      <c r="AQ71" s="37"/>
      <c r="AR71" s="24"/>
      <c r="AS71" s="202"/>
      <c r="AT71" s="191"/>
      <c r="AU71" s="24"/>
      <c r="AV71" s="202"/>
      <c r="AW71" s="191"/>
      <c r="AX71" s="24"/>
      <c r="AY71" s="202"/>
      <c r="AZ71" s="191"/>
      <c r="BA71" s="23"/>
      <c r="BB71" s="23"/>
      <c r="BC71" s="23"/>
      <c r="BD71" s="23"/>
      <c r="BE71" s="23"/>
      <c r="BF71" s="23"/>
      <c r="BG71" s="23"/>
      <c r="BH71" s="23"/>
      <c r="BI71" s="23"/>
      <c r="BJ71" s="24"/>
      <c r="BK71" s="202"/>
      <c r="BL71" s="191"/>
      <c r="BM71" s="37"/>
      <c r="BN71" s="203"/>
      <c r="BO71" s="31"/>
      <c r="BP71" s="24"/>
      <c r="BQ71" s="202"/>
      <c r="BR71" s="191"/>
      <c r="BS71" s="37"/>
      <c r="BT71" s="37"/>
      <c r="BU71" s="37"/>
      <c r="BV71" s="24"/>
      <c r="BW71" s="202"/>
      <c r="BX71" s="191"/>
      <c r="BY71" s="24"/>
      <c r="BZ71" s="202"/>
      <c r="CA71" s="191"/>
      <c r="CB71" s="24"/>
      <c r="CC71" s="202"/>
      <c r="CD71" s="191"/>
    </row>
    <row r="72" spans="1:82">
      <c r="A72" s="81">
        <v>17</v>
      </c>
      <c r="B72" s="82">
        <v>41.5</v>
      </c>
      <c r="C72" s="82">
        <v>48</v>
      </c>
      <c r="D72" s="82">
        <v>4.5</v>
      </c>
      <c r="E72" s="82">
        <v>2.5</v>
      </c>
      <c r="F72" s="82">
        <f t="shared" si="9"/>
        <v>3.5</v>
      </c>
      <c r="G72" s="200">
        <v>2</v>
      </c>
      <c r="H72" s="82">
        <v>9.1999999999999998E-2</v>
      </c>
      <c r="I72" s="82">
        <v>20.100000000000001</v>
      </c>
      <c r="J72" s="179">
        <f t="shared" ref="J72:J135" si="10">H72/CONVERT(I72,"cm","m")</f>
        <v>0.45771144278606962</v>
      </c>
      <c r="K72" s="82">
        <f t="shared" ref="K72:K135" si="11">J72*((CONVERT(C72,"cm","m"))^3)/3</f>
        <v>1.6873074626865669E-2</v>
      </c>
      <c r="L72" s="3">
        <f t="shared" ref="L72:L135" si="12">PI()*(CONVERT(F72,"mm","m"))^4/64</f>
        <v>7.3661757434268517E-12</v>
      </c>
      <c r="M72" s="3">
        <f t="shared" ref="M72:M135" si="13">K72/L72</f>
        <v>2290615268.2987809</v>
      </c>
      <c r="N72" s="29">
        <f t="shared" ref="N72:N135" si="14">M72/10^9</f>
        <v>2.2906152682987808</v>
      </c>
      <c r="O72" s="30">
        <f t="shared" ref="O72:O135" si="15">H72*$S$8/CONVERT(I72,"cm","m")</f>
        <v>0.45771144278606962</v>
      </c>
      <c r="P72" s="175">
        <f t="shared" ref="P72:P135" si="16">O72*((CONVERT(C72,"cm","m"))^3)/3</f>
        <v>1.6873074626865669E-2</v>
      </c>
      <c r="Q72" s="26">
        <f t="shared" ref="Q72:Q135" si="17">P72/L72/10^9</f>
        <v>2.2906152682987808</v>
      </c>
      <c r="AF72" s="24"/>
      <c r="AG72" s="202"/>
      <c r="AH72" s="191"/>
      <c r="AI72" s="37"/>
      <c r="AJ72" s="203"/>
      <c r="AK72" s="31"/>
      <c r="AL72" s="24"/>
      <c r="AM72" s="202"/>
      <c r="AN72" s="191"/>
      <c r="AO72" s="37"/>
      <c r="AP72" s="37"/>
      <c r="AQ72" s="37"/>
      <c r="AR72" s="24"/>
      <c r="AS72" s="202"/>
      <c r="AT72" s="191"/>
      <c r="AU72" s="24"/>
      <c r="AV72" s="202"/>
      <c r="AW72" s="191"/>
      <c r="AX72" s="24"/>
      <c r="AY72" s="202"/>
      <c r="AZ72" s="191"/>
      <c r="BA72" s="23"/>
      <c r="BB72" s="23"/>
      <c r="BC72" s="23"/>
      <c r="BD72" s="23"/>
      <c r="BE72" s="23"/>
      <c r="BF72" s="23"/>
      <c r="BG72" s="23"/>
      <c r="BH72" s="23"/>
      <c r="BI72" s="23"/>
      <c r="BJ72" s="24"/>
      <c r="BK72" s="202"/>
      <c r="BL72" s="191"/>
      <c r="BM72" s="37"/>
      <c r="BN72" s="203"/>
      <c r="BO72" s="31"/>
      <c r="BP72" s="24"/>
      <c r="BQ72" s="202"/>
      <c r="BR72" s="191"/>
      <c r="BS72" s="37"/>
      <c r="BT72" s="37"/>
      <c r="BU72" s="37"/>
      <c r="BV72" s="24"/>
      <c r="BW72" s="202"/>
      <c r="BX72" s="191"/>
      <c r="BY72" s="24"/>
      <c r="BZ72" s="202"/>
      <c r="CA72" s="191"/>
      <c r="CB72" s="24"/>
      <c r="CC72" s="202"/>
      <c r="CD72" s="191"/>
    </row>
    <row r="73" spans="1:82">
      <c r="A73" s="81">
        <v>17</v>
      </c>
      <c r="B73" s="82">
        <v>41.5</v>
      </c>
      <c r="C73" s="82">
        <v>48</v>
      </c>
      <c r="D73" s="82">
        <v>4.5</v>
      </c>
      <c r="E73" s="82">
        <v>2.5</v>
      </c>
      <c r="F73" s="82">
        <f t="shared" si="9"/>
        <v>3.5</v>
      </c>
      <c r="G73" s="200">
        <v>3</v>
      </c>
      <c r="H73" s="82">
        <v>0.09</v>
      </c>
      <c r="I73" s="82">
        <v>19.399999999999999</v>
      </c>
      <c r="J73" s="179">
        <f t="shared" si="10"/>
        <v>0.46391752577319589</v>
      </c>
      <c r="K73" s="82">
        <f t="shared" si="11"/>
        <v>1.7101855670103094E-2</v>
      </c>
      <c r="L73" s="3">
        <f t="shared" si="12"/>
        <v>7.3661757434268517E-12</v>
      </c>
      <c r="M73" s="3">
        <f t="shared" si="13"/>
        <v>2321673588.2745938</v>
      </c>
      <c r="N73" s="29">
        <f t="shared" si="14"/>
        <v>2.321673588274594</v>
      </c>
      <c r="O73" s="30">
        <f t="shared" si="15"/>
        <v>0.46391752577319589</v>
      </c>
      <c r="P73" s="175">
        <f t="shared" si="16"/>
        <v>1.7101855670103094E-2</v>
      </c>
      <c r="Q73" s="26">
        <f t="shared" si="17"/>
        <v>2.321673588274594</v>
      </c>
      <c r="AF73" s="24"/>
      <c r="AG73" s="202"/>
      <c r="AH73" s="191"/>
      <c r="AI73" s="37"/>
      <c r="AJ73" s="203"/>
      <c r="AK73" s="31"/>
      <c r="AL73" s="24"/>
      <c r="AM73" s="202"/>
      <c r="AN73" s="191"/>
      <c r="AO73" s="37"/>
      <c r="AP73" s="37"/>
      <c r="AQ73" s="37"/>
      <c r="AR73" s="24"/>
      <c r="AS73" s="202"/>
      <c r="AT73" s="191"/>
      <c r="AU73" s="24"/>
      <c r="AV73" s="202"/>
      <c r="AW73" s="191"/>
      <c r="AX73" s="24"/>
      <c r="AY73" s="202"/>
      <c r="AZ73" s="191"/>
      <c r="BA73" s="23"/>
      <c r="BB73" s="23"/>
      <c r="BC73" s="23"/>
      <c r="BD73" s="23"/>
      <c r="BE73" s="23"/>
      <c r="BF73" s="23"/>
      <c r="BG73" s="23"/>
      <c r="BH73" s="23"/>
      <c r="BI73" s="23"/>
      <c r="BJ73" s="24"/>
      <c r="BK73" s="202"/>
      <c r="BL73" s="191"/>
      <c r="BM73" s="37"/>
      <c r="BN73" s="203"/>
      <c r="BO73" s="31"/>
      <c r="BP73" s="24"/>
      <c r="BQ73" s="202"/>
      <c r="BR73" s="191"/>
      <c r="BS73" s="37"/>
      <c r="BT73" s="37"/>
      <c r="BU73" s="37"/>
      <c r="BV73" s="24"/>
      <c r="BW73" s="202"/>
      <c r="BX73" s="191"/>
      <c r="BY73" s="24"/>
      <c r="BZ73" s="202"/>
      <c r="CA73" s="191"/>
      <c r="CB73" s="24"/>
      <c r="CC73" s="202"/>
      <c r="CD73" s="191"/>
    </row>
    <row r="74" spans="1:82">
      <c r="A74" s="81">
        <v>17</v>
      </c>
      <c r="B74" s="82">
        <v>41.5</v>
      </c>
      <c r="C74" s="82">
        <v>48</v>
      </c>
      <c r="D74" s="82">
        <v>4.5</v>
      </c>
      <c r="E74" s="82">
        <v>2.5</v>
      </c>
      <c r="F74" s="82">
        <f t="shared" si="9"/>
        <v>3.5</v>
      </c>
      <c r="G74" s="200">
        <v>4</v>
      </c>
      <c r="H74" s="82">
        <v>0.155</v>
      </c>
      <c r="I74" s="82">
        <v>18.899999999999999</v>
      </c>
      <c r="J74" s="179">
        <f t="shared" si="10"/>
        <v>0.82010582010582012</v>
      </c>
      <c r="K74" s="82">
        <f t="shared" si="11"/>
        <v>3.0232380952380952E-2</v>
      </c>
      <c r="L74" s="3">
        <f t="shared" si="12"/>
        <v>7.3661757434268517E-12</v>
      </c>
      <c r="M74" s="3">
        <f t="shared" si="13"/>
        <v>4104216625.4801316</v>
      </c>
      <c r="N74" s="29">
        <f t="shared" si="14"/>
        <v>4.1042166254801318</v>
      </c>
      <c r="O74" s="30">
        <f t="shared" si="15"/>
        <v>0.82010582010582012</v>
      </c>
      <c r="P74" s="175">
        <f t="shared" si="16"/>
        <v>3.0232380952380952E-2</v>
      </c>
      <c r="Q74" s="26">
        <f t="shared" si="17"/>
        <v>4.1042166254801318</v>
      </c>
      <c r="AF74" s="24"/>
      <c r="AG74" s="202"/>
      <c r="AH74" s="191"/>
      <c r="AI74" s="37"/>
      <c r="AJ74" s="203"/>
      <c r="AK74" s="31"/>
      <c r="AL74" s="24"/>
      <c r="AM74" s="202"/>
      <c r="AN74" s="191"/>
      <c r="AO74" s="37"/>
      <c r="AP74" s="37"/>
      <c r="AQ74" s="37"/>
      <c r="AR74" s="24"/>
      <c r="AS74" s="202"/>
      <c r="AT74" s="191"/>
      <c r="AU74" s="24"/>
      <c r="AV74" s="202"/>
      <c r="AW74" s="191"/>
      <c r="AX74" s="24"/>
      <c r="AY74" s="202"/>
      <c r="AZ74" s="191"/>
      <c r="BA74" s="23"/>
      <c r="BB74" s="23"/>
      <c r="BC74" s="23"/>
      <c r="BD74" s="23"/>
      <c r="BE74" s="23"/>
      <c r="BF74" s="23"/>
      <c r="BG74" s="23"/>
      <c r="BH74" s="23"/>
      <c r="BI74" s="23"/>
      <c r="BJ74" s="24"/>
      <c r="BK74" s="202"/>
      <c r="BL74" s="191"/>
      <c r="BM74" s="37"/>
      <c r="BN74" s="203"/>
      <c r="BO74" s="31"/>
      <c r="BP74" s="24"/>
      <c r="BQ74" s="202"/>
      <c r="BR74" s="191"/>
      <c r="BS74" s="37"/>
      <c r="BT74" s="37"/>
      <c r="BU74" s="37"/>
      <c r="BV74" s="24"/>
      <c r="BW74" s="202"/>
      <c r="BX74" s="191"/>
      <c r="BY74" s="24"/>
      <c r="BZ74" s="202"/>
      <c r="CA74" s="191"/>
      <c r="CB74" s="24"/>
      <c r="CC74" s="202"/>
      <c r="CD74" s="191"/>
    </row>
    <row r="75" spans="1:82">
      <c r="A75" s="204">
        <v>18</v>
      </c>
      <c r="B75" s="205">
        <v>33.5</v>
      </c>
      <c r="C75" s="205">
        <v>57</v>
      </c>
      <c r="D75" s="205">
        <v>3.5</v>
      </c>
      <c r="E75" s="205">
        <v>2.5</v>
      </c>
      <c r="F75" s="205">
        <f t="shared" si="9"/>
        <v>3</v>
      </c>
      <c r="G75" s="206">
        <v>1</v>
      </c>
      <c r="H75" s="205">
        <v>5.8000000000000003E-2</v>
      </c>
      <c r="I75" s="205">
        <v>18.8</v>
      </c>
      <c r="J75" s="207">
        <f t="shared" si="10"/>
        <v>0.30851063829787234</v>
      </c>
      <c r="K75" s="205">
        <f t="shared" si="11"/>
        <v>1.9044670212765961E-2</v>
      </c>
      <c r="L75" s="205">
        <f t="shared" si="12"/>
        <v>3.9760782021995822E-12</v>
      </c>
      <c r="M75" s="205">
        <f t="shared" si="13"/>
        <v>4789812786.4362364</v>
      </c>
      <c r="N75" s="252">
        <f t="shared" si="14"/>
        <v>4.7898127864362365</v>
      </c>
      <c r="O75" s="207">
        <f t="shared" si="15"/>
        <v>0.30851063829787234</v>
      </c>
      <c r="P75" s="253">
        <f t="shared" si="16"/>
        <v>1.9044670212765961E-2</v>
      </c>
      <c r="Q75" s="254">
        <f t="shared" si="17"/>
        <v>4.7898127864362365</v>
      </c>
      <c r="AF75" s="24"/>
      <c r="AG75" s="202"/>
      <c r="AH75" s="191"/>
      <c r="AI75" s="37"/>
      <c r="AJ75" s="203"/>
      <c r="AK75" s="31"/>
      <c r="AL75" s="24"/>
      <c r="AM75" s="202"/>
      <c r="AN75" s="191"/>
      <c r="AO75" s="37"/>
      <c r="AP75" s="37"/>
      <c r="AQ75" s="37"/>
      <c r="AR75" s="24"/>
      <c r="AS75" s="202"/>
      <c r="AT75" s="191"/>
      <c r="AU75" s="24"/>
      <c r="AV75" s="202"/>
      <c r="AW75" s="191"/>
      <c r="AX75" s="24"/>
      <c r="AY75" s="202"/>
      <c r="AZ75" s="191"/>
      <c r="BA75" s="23"/>
      <c r="BB75" s="23"/>
      <c r="BC75" s="23"/>
      <c r="BD75" s="23"/>
      <c r="BE75" s="23"/>
      <c r="BF75" s="23"/>
      <c r="BG75" s="23"/>
      <c r="BH75" s="23"/>
      <c r="BI75" s="23"/>
      <c r="BJ75" s="24"/>
      <c r="BK75" s="202"/>
      <c r="BL75" s="191"/>
      <c r="BM75" s="37"/>
      <c r="BN75" s="203"/>
      <c r="BO75" s="31"/>
      <c r="BP75" s="24"/>
      <c r="BQ75" s="202"/>
      <c r="BR75" s="191"/>
      <c r="BS75" s="37"/>
      <c r="BT75" s="37"/>
      <c r="BU75" s="37"/>
      <c r="BV75" s="24"/>
      <c r="BW75" s="202"/>
      <c r="BX75" s="191"/>
      <c r="BY75" s="24"/>
      <c r="BZ75" s="202"/>
      <c r="CA75" s="191"/>
      <c r="CB75" s="24"/>
      <c r="CC75" s="202"/>
      <c r="CD75" s="191"/>
    </row>
    <row r="76" spans="1:82">
      <c r="A76" s="204">
        <v>18</v>
      </c>
      <c r="B76" s="205">
        <v>33.5</v>
      </c>
      <c r="C76" s="205">
        <v>57</v>
      </c>
      <c r="D76" s="205">
        <v>3.5</v>
      </c>
      <c r="E76" s="205">
        <v>2.5</v>
      </c>
      <c r="F76" s="205">
        <f t="shared" si="9"/>
        <v>3</v>
      </c>
      <c r="G76" s="206">
        <v>2</v>
      </c>
      <c r="H76" s="205">
        <v>7.8E-2</v>
      </c>
      <c r="I76" s="205">
        <v>20.5</v>
      </c>
      <c r="J76" s="207">
        <f t="shared" si="10"/>
        <v>0.38048780487804873</v>
      </c>
      <c r="K76" s="205">
        <f t="shared" si="11"/>
        <v>2.3487892682926833E-2</v>
      </c>
      <c r="L76" s="205">
        <f t="shared" si="12"/>
        <v>3.9760782021995822E-12</v>
      </c>
      <c r="M76" s="205">
        <f t="shared" si="13"/>
        <v>5907301488.6712332</v>
      </c>
      <c r="N76" s="252">
        <f t="shared" si="14"/>
        <v>5.9073014886712336</v>
      </c>
      <c r="O76" s="207">
        <f t="shared" si="15"/>
        <v>0.38048780487804873</v>
      </c>
      <c r="P76" s="253">
        <f t="shared" si="16"/>
        <v>2.3487892682926833E-2</v>
      </c>
      <c r="Q76" s="254">
        <f t="shared" si="17"/>
        <v>5.9073014886712336</v>
      </c>
      <c r="AF76" s="24"/>
      <c r="AG76" s="202"/>
      <c r="AH76" s="191"/>
      <c r="AI76" s="37"/>
      <c r="AJ76" s="203"/>
      <c r="AK76" s="31"/>
      <c r="AL76" s="24"/>
      <c r="AM76" s="202"/>
      <c r="AN76" s="191"/>
      <c r="AO76" s="37"/>
      <c r="AP76" s="37"/>
      <c r="AQ76" s="37"/>
      <c r="AR76" s="24"/>
      <c r="AS76" s="202"/>
      <c r="AT76" s="191"/>
      <c r="AU76" s="24"/>
      <c r="AV76" s="202"/>
      <c r="AW76" s="191"/>
      <c r="AX76" s="24"/>
      <c r="AY76" s="202"/>
      <c r="AZ76" s="191"/>
      <c r="BA76" s="23"/>
      <c r="BB76" s="23"/>
      <c r="BC76" s="23"/>
      <c r="BD76" s="23"/>
      <c r="BE76" s="23"/>
      <c r="BF76" s="23"/>
      <c r="BG76" s="23"/>
      <c r="BH76" s="23"/>
      <c r="BI76" s="23"/>
      <c r="BJ76" s="24"/>
      <c r="BK76" s="202"/>
      <c r="BL76" s="191"/>
      <c r="BM76" s="37"/>
      <c r="BN76" s="203"/>
      <c r="BO76" s="31"/>
      <c r="BP76" s="24"/>
      <c r="BQ76" s="202"/>
      <c r="BR76" s="191"/>
      <c r="BS76" s="37"/>
      <c r="BT76" s="37"/>
      <c r="BU76" s="37"/>
      <c r="BV76" s="24"/>
      <c r="BW76" s="202"/>
      <c r="BX76" s="191"/>
      <c r="BY76" s="24"/>
      <c r="BZ76" s="202"/>
      <c r="CA76" s="191"/>
      <c r="CB76" s="24"/>
      <c r="CC76" s="202"/>
      <c r="CD76" s="191"/>
    </row>
    <row r="77" spans="1:82">
      <c r="A77" s="204">
        <v>18</v>
      </c>
      <c r="B77" s="205">
        <v>33.5</v>
      </c>
      <c r="C77" s="205">
        <v>57</v>
      </c>
      <c r="D77" s="205">
        <v>3.5</v>
      </c>
      <c r="E77" s="205">
        <v>2.5</v>
      </c>
      <c r="F77" s="205">
        <f t="shared" si="9"/>
        <v>3</v>
      </c>
      <c r="G77" s="206">
        <v>3</v>
      </c>
      <c r="H77" s="205">
        <v>0.14099999999999999</v>
      </c>
      <c r="I77" s="205">
        <v>22</v>
      </c>
      <c r="J77" s="207">
        <f t="shared" si="10"/>
        <v>0.64090909090909087</v>
      </c>
      <c r="K77" s="205">
        <f t="shared" si="11"/>
        <v>3.9563959090909102E-2</v>
      </c>
      <c r="L77" s="205">
        <f t="shared" si="12"/>
        <v>3.9760782021995822E-12</v>
      </c>
      <c r="M77" s="205">
        <f t="shared" si="13"/>
        <v>9950498224.3614235</v>
      </c>
      <c r="N77" s="252">
        <f t="shared" si="14"/>
        <v>9.9504982243614233</v>
      </c>
      <c r="O77" s="207">
        <f t="shared" si="15"/>
        <v>0.64090909090909087</v>
      </c>
      <c r="P77" s="253">
        <f t="shared" si="16"/>
        <v>3.9563959090909102E-2</v>
      </c>
      <c r="Q77" s="254">
        <f t="shared" si="17"/>
        <v>9.9504982243614233</v>
      </c>
      <c r="AF77" s="24"/>
      <c r="AG77" s="202"/>
      <c r="AH77" s="191"/>
      <c r="AI77" s="37"/>
      <c r="AJ77" s="203"/>
      <c r="AK77" s="31"/>
      <c r="AL77" s="24"/>
      <c r="AM77" s="202"/>
      <c r="AN77" s="191"/>
      <c r="AO77" s="37"/>
      <c r="AP77" s="37"/>
      <c r="AQ77" s="37"/>
      <c r="AR77" s="24"/>
      <c r="AS77" s="202"/>
      <c r="AT77" s="191"/>
      <c r="AU77" s="24"/>
      <c r="AV77" s="202"/>
      <c r="AW77" s="191"/>
      <c r="AX77" s="24"/>
      <c r="AY77" s="202"/>
      <c r="AZ77" s="191"/>
      <c r="BA77" s="23"/>
      <c r="BB77" s="23"/>
      <c r="BC77" s="23"/>
      <c r="BD77" s="23"/>
      <c r="BE77" s="23"/>
      <c r="BF77" s="23"/>
      <c r="BG77" s="23"/>
      <c r="BH77" s="23"/>
      <c r="BI77" s="23"/>
      <c r="BJ77" s="24"/>
      <c r="BK77" s="202"/>
      <c r="BL77" s="191"/>
      <c r="BM77" s="37"/>
      <c r="BN77" s="203"/>
      <c r="BO77" s="31"/>
      <c r="BP77" s="24"/>
      <c r="BQ77" s="202"/>
      <c r="BR77" s="191"/>
      <c r="BS77" s="37"/>
      <c r="BT77" s="37"/>
      <c r="BU77" s="37"/>
      <c r="BV77" s="24"/>
      <c r="BW77" s="202"/>
      <c r="BX77" s="191"/>
      <c r="BY77" s="24"/>
      <c r="BZ77" s="202"/>
      <c r="CA77" s="191"/>
      <c r="CB77" s="24"/>
      <c r="CC77" s="202"/>
      <c r="CD77" s="191"/>
    </row>
    <row r="78" spans="1:82">
      <c r="A78" s="204">
        <v>18</v>
      </c>
      <c r="B78" s="205">
        <v>33.5</v>
      </c>
      <c r="C78" s="205">
        <v>57</v>
      </c>
      <c r="D78" s="205">
        <v>3.5</v>
      </c>
      <c r="E78" s="205">
        <v>2.5</v>
      </c>
      <c r="F78" s="205">
        <f t="shared" si="9"/>
        <v>3</v>
      </c>
      <c r="G78" s="206">
        <v>4</v>
      </c>
      <c r="H78" s="205">
        <v>0.122</v>
      </c>
      <c r="I78" s="205">
        <v>23</v>
      </c>
      <c r="J78" s="207">
        <f t="shared" si="10"/>
        <v>0.53043478260869559</v>
      </c>
      <c r="K78" s="205">
        <f t="shared" si="11"/>
        <v>3.27442695652174E-2</v>
      </c>
      <c r="L78" s="205">
        <f t="shared" si="12"/>
        <v>3.9760782021995822E-12</v>
      </c>
      <c r="M78" s="205">
        <f t="shared" si="13"/>
        <v>8235318296.0795746</v>
      </c>
      <c r="N78" s="252">
        <f t="shared" si="14"/>
        <v>8.2353182960795746</v>
      </c>
      <c r="O78" s="207">
        <f t="shared" si="15"/>
        <v>0.53043478260869559</v>
      </c>
      <c r="P78" s="253">
        <f t="shared" si="16"/>
        <v>3.27442695652174E-2</v>
      </c>
      <c r="Q78" s="254">
        <f t="shared" si="17"/>
        <v>8.2353182960795746</v>
      </c>
      <c r="AF78" s="24"/>
      <c r="AG78" s="202"/>
      <c r="AH78" s="191"/>
      <c r="AI78" s="37"/>
      <c r="AJ78" s="203"/>
      <c r="AK78" s="31"/>
      <c r="AL78" s="24"/>
      <c r="AM78" s="202"/>
      <c r="AN78" s="191"/>
      <c r="AO78" s="37"/>
      <c r="AP78" s="37"/>
      <c r="AQ78" s="37"/>
      <c r="AR78" s="24"/>
      <c r="AS78" s="202"/>
      <c r="AT78" s="191"/>
      <c r="AU78" s="24"/>
      <c r="AV78" s="202"/>
      <c r="AW78" s="191"/>
      <c r="AX78" s="24"/>
      <c r="AY78" s="202"/>
      <c r="AZ78" s="191"/>
      <c r="BA78" s="23"/>
      <c r="BB78" s="23"/>
      <c r="BC78" s="23"/>
      <c r="BD78" s="23"/>
      <c r="BE78" s="23"/>
      <c r="BF78" s="23"/>
      <c r="BG78" s="23"/>
      <c r="BH78" s="23"/>
      <c r="BI78" s="23"/>
      <c r="BJ78" s="24"/>
      <c r="BK78" s="202"/>
      <c r="BL78" s="191"/>
      <c r="BM78" s="37"/>
      <c r="BN78" s="203"/>
      <c r="BO78" s="31"/>
      <c r="BP78" s="24"/>
      <c r="BQ78" s="202"/>
      <c r="BR78" s="191"/>
      <c r="BS78" s="37"/>
      <c r="BT78" s="37"/>
      <c r="BU78" s="37"/>
      <c r="BV78" s="24"/>
      <c r="BW78" s="202"/>
      <c r="BX78" s="191"/>
      <c r="BY78" s="24"/>
      <c r="BZ78" s="202"/>
      <c r="CA78" s="191"/>
      <c r="CB78" s="24"/>
      <c r="CC78" s="202"/>
      <c r="CD78" s="191"/>
    </row>
    <row r="79" spans="1:82">
      <c r="A79" s="81">
        <v>19</v>
      </c>
      <c r="B79" s="82">
        <v>49</v>
      </c>
      <c r="C79" s="82">
        <v>72</v>
      </c>
      <c r="D79" s="82">
        <v>4</v>
      </c>
      <c r="E79" s="82">
        <v>3.5</v>
      </c>
      <c r="F79" s="82">
        <f t="shared" si="9"/>
        <v>3.75</v>
      </c>
      <c r="G79" s="200">
        <v>1</v>
      </c>
      <c r="H79" s="82">
        <v>9.4E-2</v>
      </c>
      <c r="I79" s="82">
        <v>21.8</v>
      </c>
      <c r="J79" s="179">
        <f t="shared" si="10"/>
        <v>0.43119266055045874</v>
      </c>
      <c r="K79" s="82">
        <f t="shared" si="11"/>
        <v>5.3647266055045877E-2</v>
      </c>
      <c r="L79" s="3">
        <f t="shared" si="12"/>
        <v>9.7072221733388222E-12</v>
      </c>
      <c r="M79" s="3">
        <f t="shared" si="13"/>
        <v>5526531184.4195452</v>
      </c>
      <c r="N79" s="29">
        <f t="shared" si="14"/>
        <v>5.5265311844195448</v>
      </c>
      <c r="O79" s="30">
        <f t="shared" si="15"/>
        <v>0.43119266055045874</v>
      </c>
      <c r="P79" s="175">
        <f t="shared" si="16"/>
        <v>5.3647266055045877E-2</v>
      </c>
      <c r="Q79" s="26">
        <f t="shared" si="17"/>
        <v>5.5265311844195448</v>
      </c>
      <c r="AF79" s="24"/>
      <c r="AG79" s="202"/>
      <c r="AH79" s="191"/>
      <c r="AI79" s="37"/>
      <c r="AJ79" s="203"/>
      <c r="AK79" s="31"/>
      <c r="AL79" s="24"/>
      <c r="AM79" s="202"/>
      <c r="AN79" s="191"/>
      <c r="AO79" s="37"/>
      <c r="AP79" s="37"/>
      <c r="AQ79" s="37"/>
      <c r="AR79" s="24"/>
      <c r="AS79" s="202"/>
      <c r="AT79" s="191"/>
      <c r="AU79" s="24"/>
      <c r="AV79" s="202"/>
      <c r="AW79" s="191"/>
      <c r="AX79" s="24"/>
      <c r="AY79" s="202"/>
      <c r="AZ79" s="191"/>
      <c r="BA79" s="23"/>
      <c r="BB79" s="23"/>
      <c r="BC79" s="23"/>
      <c r="BD79" s="23"/>
      <c r="BE79" s="23"/>
      <c r="BF79" s="23"/>
      <c r="BG79" s="23"/>
      <c r="BH79" s="23"/>
      <c r="BI79" s="23"/>
      <c r="BJ79" s="24"/>
      <c r="BK79" s="202"/>
      <c r="BL79" s="191"/>
      <c r="BM79" s="37"/>
      <c r="BN79" s="203"/>
      <c r="BO79" s="31"/>
      <c r="BP79" s="24"/>
      <c r="BQ79" s="202"/>
      <c r="BR79" s="191"/>
      <c r="BS79" s="37"/>
      <c r="BT79" s="37"/>
      <c r="BU79" s="37"/>
      <c r="BV79" s="24"/>
      <c r="BW79" s="202"/>
      <c r="BX79" s="191"/>
      <c r="BY79" s="24"/>
      <c r="BZ79" s="202"/>
      <c r="CA79" s="191"/>
      <c r="CB79" s="24"/>
      <c r="CC79" s="202"/>
      <c r="CD79" s="191"/>
    </row>
    <row r="80" spans="1:82">
      <c r="A80" s="81">
        <v>19</v>
      </c>
      <c r="B80" s="82">
        <v>49</v>
      </c>
      <c r="C80" s="82">
        <v>72</v>
      </c>
      <c r="D80" s="82">
        <v>4</v>
      </c>
      <c r="E80" s="82">
        <v>3.5</v>
      </c>
      <c r="F80" s="82">
        <f t="shared" si="9"/>
        <v>3.75</v>
      </c>
      <c r="G80" s="200">
        <v>2</v>
      </c>
      <c r="H80" s="82">
        <v>9.7000000000000003E-2</v>
      </c>
      <c r="I80" s="82">
        <v>24.3</v>
      </c>
      <c r="J80" s="179">
        <f t="shared" si="10"/>
        <v>0.39917695473251025</v>
      </c>
      <c r="K80" s="82">
        <f t="shared" si="11"/>
        <v>4.9663999999999993E-2</v>
      </c>
      <c r="L80" s="3">
        <f t="shared" si="12"/>
        <v>9.7072221733388222E-12</v>
      </c>
      <c r="M80" s="3">
        <f t="shared" si="13"/>
        <v>5116190719.9779215</v>
      </c>
      <c r="N80" s="29">
        <f t="shared" si="14"/>
        <v>5.1161907199779213</v>
      </c>
      <c r="O80" s="30">
        <f t="shared" si="15"/>
        <v>0.39917695473251025</v>
      </c>
      <c r="P80" s="175">
        <f t="shared" si="16"/>
        <v>4.9663999999999993E-2</v>
      </c>
      <c r="Q80" s="26">
        <f t="shared" si="17"/>
        <v>5.1161907199779213</v>
      </c>
      <c r="AF80" s="24"/>
      <c r="AG80" s="202"/>
      <c r="AH80" s="191"/>
      <c r="AI80" s="37"/>
      <c r="AJ80" s="203"/>
      <c r="AK80" s="31"/>
      <c r="AL80" s="24"/>
      <c r="AM80" s="202"/>
      <c r="AN80" s="191"/>
      <c r="AO80" s="37"/>
      <c r="AP80" s="37"/>
      <c r="AQ80" s="37"/>
      <c r="AR80" s="24"/>
      <c r="AS80" s="202"/>
      <c r="AT80" s="191"/>
      <c r="AU80" s="24"/>
      <c r="AV80" s="202"/>
      <c r="AW80" s="191"/>
      <c r="AX80" s="24"/>
      <c r="AY80" s="202"/>
      <c r="AZ80" s="191"/>
      <c r="BA80" s="23"/>
      <c r="BB80" s="23"/>
      <c r="BC80" s="23"/>
      <c r="BD80" s="23"/>
      <c r="BE80" s="23"/>
      <c r="BF80" s="23"/>
      <c r="BG80" s="23"/>
      <c r="BH80" s="23"/>
      <c r="BI80" s="23"/>
      <c r="BJ80" s="24"/>
      <c r="BK80" s="202"/>
      <c r="BL80" s="191"/>
      <c r="BM80" s="37"/>
      <c r="BN80" s="203"/>
      <c r="BO80" s="31"/>
      <c r="BP80" s="24"/>
      <c r="BQ80" s="202"/>
      <c r="BR80" s="191"/>
      <c r="BS80" s="37"/>
      <c r="BT80" s="37"/>
      <c r="BU80" s="37"/>
      <c r="BV80" s="24"/>
      <c r="BW80" s="202"/>
      <c r="BX80" s="191"/>
      <c r="BY80" s="24"/>
      <c r="BZ80" s="202"/>
      <c r="CA80" s="191"/>
      <c r="CB80" s="24"/>
      <c r="CC80" s="202"/>
      <c r="CD80" s="191"/>
    </row>
    <row r="81" spans="1:82">
      <c r="A81" s="81">
        <v>19</v>
      </c>
      <c r="B81" s="82">
        <v>49</v>
      </c>
      <c r="C81" s="82">
        <v>72</v>
      </c>
      <c r="D81" s="82">
        <v>4</v>
      </c>
      <c r="E81" s="82">
        <v>3.5</v>
      </c>
      <c r="F81" s="82">
        <f t="shared" si="9"/>
        <v>3.75</v>
      </c>
      <c r="G81" s="200">
        <v>3</v>
      </c>
      <c r="H81" s="82">
        <v>9.5000000000000001E-2</v>
      </c>
      <c r="I81" s="82">
        <v>24.1</v>
      </c>
      <c r="J81" s="179">
        <f t="shared" si="10"/>
        <v>0.39419087136929459</v>
      </c>
      <c r="K81" s="82">
        <f t="shared" si="11"/>
        <v>4.904365145228215E-2</v>
      </c>
      <c r="L81" s="3">
        <f t="shared" si="12"/>
        <v>9.7072221733388222E-12</v>
      </c>
      <c r="M81" s="3">
        <f t="shared" si="13"/>
        <v>5052284842.8237295</v>
      </c>
      <c r="N81" s="29">
        <f t="shared" si="14"/>
        <v>5.0522848428237292</v>
      </c>
      <c r="O81" s="30">
        <f t="shared" si="15"/>
        <v>0.39419087136929459</v>
      </c>
      <c r="P81" s="175">
        <f t="shared" si="16"/>
        <v>4.904365145228215E-2</v>
      </c>
      <c r="Q81" s="26">
        <f t="shared" si="17"/>
        <v>5.0522848428237292</v>
      </c>
      <c r="AF81" s="24"/>
      <c r="AG81" s="202"/>
      <c r="AH81" s="191"/>
      <c r="AI81" s="37"/>
      <c r="AJ81" s="203"/>
      <c r="AK81" s="31"/>
      <c r="AL81" s="24"/>
      <c r="AM81" s="202"/>
      <c r="AN81" s="191"/>
      <c r="AO81" s="37"/>
      <c r="AP81" s="37"/>
      <c r="AQ81" s="37"/>
      <c r="AR81" s="24"/>
      <c r="AS81" s="202"/>
      <c r="AT81" s="191"/>
      <c r="AU81" s="24"/>
      <c r="AV81" s="202"/>
      <c r="AW81" s="191"/>
      <c r="AX81" s="24"/>
      <c r="AY81" s="202"/>
      <c r="AZ81" s="191"/>
      <c r="BA81" s="23"/>
      <c r="BB81" s="23"/>
      <c r="BC81" s="23"/>
      <c r="BD81" s="23"/>
      <c r="BE81" s="23"/>
      <c r="BF81" s="23"/>
      <c r="BG81" s="23"/>
      <c r="BH81" s="23"/>
      <c r="BI81" s="23"/>
      <c r="BJ81" s="24"/>
      <c r="BK81" s="202"/>
      <c r="BL81" s="191"/>
      <c r="BM81" s="37"/>
      <c r="BN81" s="203"/>
      <c r="BO81" s="31"/>
      <c r="BP81" s="24"/>
      <c r="BQ81" s="202"/>
      <c r="BR81" s="191"/>
      <c r="BS81" s="37"/>
      <c r="BT81" s="37"/>
      <c r="BU81" s="37"/>
      <c r="BV81" s="24"/>
      <c r="BW81" s="202"/>
      <c r="BX81" s="191"/>
      <c r="BY81" s="24"/>
      <c r="BZ81" s="202"/>
      <c r="CA81" s="191"/>
      <c r="CB81" s="24"/>
      <c r="CC81" s="202"/>
      <c r="CD81" s="191"/>
    </row>
    <row r="82" spans="1:82">
      <c r="A82" s="81">
        <v>19</v>
      </c>
      <c r="B82" s="82">
        <v>49</v>
      </c>
      <c r="C82" s="82">
        <v>72</v>
      </c>
      <c r="D82" s="82">
        <v>4</v>
      </c>
      <c r="E82" s="82">
        <v>3.5</v>
      </c>
      <c r="F82" s="82">
        <f t="shared" si="9"/>
        <v>3.75</v>
      </c>
      <c r="G82" s="200">
        <v>4</v>
      </c>
      <c r="H82" s="82">
        <v>9.0999999999999998E-2</v>
      </c>
      <c r="I82" s="82">
        <v>25.3</v>
      </c>
      <c r="J82" s="179">
        <f t="shared" si="10"/>
        <v>0.35968379446640314</v>
      </c>
      <c r="K82" s="82">
        <f t="shared" si="11"/>
        <v>4.4750418972332007E-2</v>
      </c>
      <c r="L82" s="3">
        <f t="shared" si="12"/>
        <v>9.7072221733388222E-12</v>
      </c>
      <c r="M82" s="3">
        <f t="shared" si="13"/>
        <v>4610012851.590064</v>
      </c>
      <c r="N82" s="29">
        <f t="shared" si="14"/>
        <v>4.6100128515900645</v>
      </c>
      <c r="O82" s="30">
        <f t="shared" si="15"/>
        <v>0.35968379446640314</v>
      </c>
      <c r="P82" s="175">
        <f t="shared" si="16"/>
        <v>4.4750418972332007E-2</v>
      </c>
      <c r="Q82" s="26">
        <f t="shared" si="17"/>
        <v>4.6100128515900645</v>
      </c>
      <c r="AF82" s="24"/>
      <c r="AG82" s="202"/>
      <c r="AH82" s="191"/>
      <c r="AI82" s="37"/>
      <c r="AJ82" s="203"/>
      <c r="AK82" s="31"/>
      <c r="AL82" s="24"/>
      <c r="AM82" s="202"/>
      <c r="AN82" s="191"/>
      <c r="AO82" s="37"/>
      <c r="AP82" s="37"/>
      <c r="AQ82" s="37"/>
      <c r="AR82" s="24"/>
      <c r="AS82" s="202"/>
      <c r="AT82" s="191"/>
      <c r="AU82" s="24"/>
      <c r="AV82" s="202"/>
      <c r="AW82" s="191"/>
      <c r="AX82" s="24"/>
      <c r="AY82" s="202"/>
      <c r="AZ82" s="191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02"/>
      <c r="BL82" s="191"/>
      <c r="BM82" s="37"/>
      <c r="BN82" s="203"/>
      <c r="BO82" s="31"/>
      <c r="BP82" s="24"/>
      <c r="BQ82" s="202"/>
      <c r="BR82" s="191"/>
      <c r="BS82" s="37"/>
      <c r="BT82" s="37"/>
      <c r="BU82" s="37"/>
      <c r="BV82" s="24"/>
      <c r="BW82" s="202"/>
      <c r="BX82" s="191"/>
      <c r="BY82" s="24"/>
      <c r="BZ82" s="202"/>
      <c r="CA82" s="191"/>
      <c r="CB82" s="24"/>
      <c r="CC82" s="202"/>
      <c r="CD82" s="191"/>
    </row>
    <row r="83" spans="1:82">
      <c r="A83" s="204">
        <v>20</v>
      </c>
      <c r="B83" s="205">
        <v>38.5</v>
      </c>
      <c r="C83" s="205">
        <v>48.5</v>
      </c>
      <c r="D83" s="205">
        <v>4</v>
      </c>
      <c r="E83" s="205">
        <v>3</v>
      </c>
      <c r="F83" s="205">
        <f t="shared" si="9"/>
        <v>3.5</v>
      </c>
      <c r="G83" s="206">
        <v>1</v>
      </c>
      <c r="H83" s="205">
        <v>0.27800000000000002</v>
      </c>
      <c r="I83" s="205">
        <v>15.2</v>
      </c>
      <c r="J83" s="207">
        <f t="shared" si="10"/>
        <v>1.8289473684210529</v>
      </c>
      <c r="K83" s="205">
        <f t="shared" si="11"/>
        <v>6.9551286732456155E-2</v>
      </c>
      <c r="L83" s="205">
        <f t="shared" si="12"/>
        <v>7.3661757434268517E-12</v>
      </c>
      <c r="M83" s="205">
        <f t="shared" si="13"/>
        <v>9441980364.7122726</v>
      </c>
      <c r="N83" s="252">
        <f t="shared" si="14"/>
        <v>9.441980364712272</v>
      </c>
      <c r="O83" s="207">
        <f t="shared" si="15"/>
        <v>1.8289473684210529</v>
      </c>
      <c r="P83" s="253">
        <f t="shared" si="16"/>
        <v>6.9551286732456155E-2</v>
      </c>
      <c r="Q83" s="254">
        <f t="shared" si="17"/>
        <v>9.441980364712272</v>
      </c>
      <c r="AF83" s="24"/>
      <c r="AG83" s="202"/>
      <c r="AH83" s="191"/>
      <c r="AI83" s="37"/>
      <c r="AJ83" s="203"/>
      <c r="AK83" s="31"/>
      <c r="AL83" s="24"/>
      <c r="AM83" s="202"/>
      <c r="AN83" s="191"/>
      <c r="AO83" s="37"/>
      <c r="AP83" s="37"/>
      <c r="AQ83" s="37"/>
      <c r="AR83" s="24"/>
      <c r="AS83" s="202"/>
      <c r="AT83" s="191"/>
      <c r="AU83" s="24"/>
      <c r="AV83" s="202"/>
      <c r="AW83" s="191"/>
      <c r="AX83" s="24"/>
      <c r="AY83" s="202"/>
      <c r="AZ83" s="191"/>
      <c r="BA83" s="23"/>
      <c r="BB83" s="23"/>
      <c r="BC83" s="23"/>
      <c r="BD83" s="23"/>
      <c r="BE83" s="23"/>
      <c r="BF83" s="23"/>
      <c r="BG83" s="23"/>
      <c r="BH83" s="23"/>
      <c r="BI83" s="23"/>
      <c r="BJ83" s="24"/>
      <c r="BK83" s="202"/>
      <c r="BL83" s="191"/>
      <c r="BM83" s="37"/>
      <c r="BN83" s="203"/>
      <c r="BO83" s="31"/>
      <c r="BP83" s="24"/>
      <c r="BQ83" s="202"/>
      <c r="BR83" s="191"/>
      <c r="BS83" s="37"/>
      <c r="BT83" s="37"/>
      <c r="BU83" s="37"/>
      <c r="BV83" s="24"/>
      <c r="BW83" s="202"/>
      <c r="BX83" s="191"/>
      <c r="BY83" s="24"/>
      <c r="BZ83" s="202"/>
      <c r="CA83" s="191"/>
      <c r="CB83" s="24"/>
      <c r="CC83" s="202"/>
      <c r="CD83" s="191"/>
    </row>
    <row r="84" spans="1:82">
      <c r="A84" s="204">
        <v>20</v>
      </c>
      <c r="B84" s="205">
        <v>38.5</v>
      </c>
      <c r="C84" s="205">
        <v>48.5</v>
      </c>
      <c r="D84" s="205">
        <v>4</v>
      </c>
      <c r="E84" s="205">
        <v>3</v>
      </c>
      <c r="F84" s="205">
        <f t="shared" si="9"/>
        <v>3.5</v>
      </c>
      <c r="G84" s="206">
        <v>2</v>
      </c>
      <c r="H84" s="205">
        <v>0.21299999999999999</v>
      </c>
      <c r="I84" s="205">
        <v>16.7</v>
      </c>
      <c r="J84" s="207">
        <f t="shared" si="10"/>
        <v>1.2754491017964071</v>
      </c>
      <c r="K84" s="205">
        <f t="shared" si="11"/>
        <v>4.8502831586826341E-2</v>
      </c>
      <c r="L84" s="205">
        <f t="shared" si="12"/>
        <v>7.3661757434268517E-12</v>
      </c>
      <c r="M84" s="205">
        <f t="shared" si="13"/>
        <v>6584533586.5231638</v>
      </c>
      <c r="N84" s="252">
        <f t="shared" si="14"/>
        <v>6.5845335865231638</v>
      </c>
      <c r="O84" s="207">
        <f t="shared" si="15"/>
        <v>1.2754491017964071</v>
      </c>
      <c r="P84" s="253">
        <f t="shared" si="16"/>
        <v>4.8502831586826341E-2</v>
      </c>
      <c r="Q84" s="254">
        <f t="shared" si="17"/>
        <v>6.5845335865231638</v>
      </c>
      <c r="AF84" s="24"/>
      <c r="AG84" s="202"/>
      <c r="AH84" s="191"/>
      <c r="AI84" s="37"/>
      <c r="AJ84" s="203"/>
      <c r="AK84" s="31"/>
      <c r="AL84" s="24"/>
      <c r="AM84" s="202"/>
      <c r="AN84" s="191"/>
      <c r="AO84" s="37"/>
      <c r="AP84" s="37"/>
      <c r="AQ84" s="37"/>
      <c r="AR84" s="24"/>
      <c r="AS84" s="202"/>
      <c r="AT84" s="191"/>
      <c r="AU84" s="24"/>
      <c r="AV84" s="202"/>
      <c r="AW84" s="191"/>
      <c r="AX84" s="24"/>
      <c r="AY84" s="202"/>
      <c r="AZ84" s="191"/>
      <c r="BA84" s="23"/>
      <c r="BB84" s="23"/>
      <c r="BC84" s="23"/>
      <c r="BD84" s="23"/>
      <c r="BE84" s="23"/>
      <c r="BF84" s="23"/>
      <c r="BG84" s="23"/>
      <c r="BH84" s="23"/>
      <c r="BI84" s="23"/>
      <c r="BJ84" s="24"/>
      <c r="BK84" s="202"/>
      <c r="BL84" s="191"/>
      <c r="BM84" s="37"/>
      <c r="BN84" s="203"/>
      <c r="BO84" s="31"/>
      <c r="BP84" s="24"/>
      <c r="BQ84" s="202"/>
      <c r="BR84" s="191"/>
      <c r="BS84" s="37"/>
      <c r="BT84" s="37"/>
      <c r="BU84" s="37"/>
      <c r="BV84" s="24"/>
      <c r="BW84" s="202"/>
      <c r="BX84" s="191"/>
      <c r="BY84" s="24"/>
      <c r="BZ84" s="202"/>
      <c r="CA84" s="191"/>
      <c r="CB84" s="24"/>
      <c r="CC84" s="202"/>
      <c r="CD84" s="191"/>
    </row>
    <row r="85" spans="1:82">
      <c r="A85" s="204">
        <v>20</v>
      </c>
      <c r="B85" s="205">
        <v>38.5</v>
      </c>
      <c r="C85" s="205">
        <v>48.5</v>
      </c>
      <c r="D85" s="205">
        <v>4</v>
      </c>
      <c r="E85" s="205">
        <v>3</v>
      </c>
      <c r="F85" s="205">
        <f t="shared" si="9"/>
        <v>3.5</v>
      </c>
      <c r="G85" s="206">
        <v>3</v>
      </c>
      <c r="H85" s="205">
        <v>0.184</v>
      </c>
      <c r="I85" s="205">
        <v>17.8</v>
      </c>
      <c r="J85" s="207">
        <f t="shared" si="10"/>
        <v>1.0337078651685392</v>
      </c>
      <c r="K85" s="205">
        <f t="shared" si="11"/>
        <v>3.9309885767790258E-2</v>
      </c>
      <c r="L85" s="205">
        <f t="shared" si="12"/>
        <v>7.3661757434268517E-12</v>
      </c>
      <c r="M85" s="205">
        <f t="shared" si="13"/>
        <v>5336539221.5720787</v>
      </c>
      <c r="N85" s="252">
        <f t="shared" si="14"/>
        <v>5.3365392215720791</v>
      </c>
      <c r="O85" s="207">
        <f t="shared" si="15"/>
        <v>1.0337078651685392</v>
      </c>
      <c r="P85" s="253">
        <f t="shared" si="16"/>
        <v>3.9309885767790258E-2</v>
      </c>
      <c r="Q85" s="254">
        <f t="shared" si="17"/>
        <v>5.3365392215720791</v>
      </c>
      <c r="AF85" s="24"/>
      <c r="AG85" s="202"/>
      <c r="AH85" s="191"/>
      <c r="AI85" s="37"/>
      <c r="AJ85" s="203"/>
      <c r="AK85" s="31"/>
      <c r="AL85" s="24"/>
      <c r="AM85" s="202"/>
      <c r="AN85" s="191"/>
      <c r="AO85" s="37"/>
      <c r="AP85" s="37"/>
      <c r="AQ85" s="37"/>
      <c r="AR85" s="24"/>
      <c r="AS85" s="202"/>
      <c r="AT85" s="191"/>
      <c r="AU85" s="24"/>
      <c r="AV85" s="202"/>
      <c r="AW85" s="191"/>
      <c r="AX85" s="24"/>
      <c r="AY85" s="202"/>
      <c r="AZ85" s="191"/>
      <c r="BA85" s="23"/>
      <c r="BB85" s="23"/>
      <c r="BC85" s="23"/>
      <c r="BD85" s="23"/>
      <c r="BE85" s="23"/>
      <c r="BF85" s="23"/>
      <c r="BG85" s="23"/>
      <c r="BH85" s="23"/>
      <c r="BI85" s="23"/>
      <c r="BJ85" s="24"/>
      <c r="BK85" s="202"/>
      <c r="BL85" s="191"/>
      <c r="BM85" s="37"/>
      <c r="BN85" s="203"/>
      <c r="BO85" s="31"/>
      <c r="BP85" s="24"/>
      <c r="BQ85" s="202"/>
      <c r="BR85" s="191"/>
      <c r="BS85" s="37"/>
      <c r="BT85" s="37"/>
      <c r="BU85" s="37"/>
      <c r="BV85" s="24"/>
      <c r="BW85" s="202"/>
      <c r="BX85" s="191"/>
      <c r="BY85" s="24"/>
      <c r="BZ85" s="202"/>
      <c r="CA85" s="191"/>
      <c r="CB85" s="24"/>
      <c r="CC85" s="202"/>
      <c r="CD85" s="191"/>
    </row>
    <row r="86" spans="1:82">
      <c r="A86" s="204">
        <v>20</v>
      </c>
      <c r="B86" s="205">
        <v>38.5</v>
      </c>
      <c r="C86" s="205">
        <v>48.5</v>
      </c>
      <c r="D86" s="205">
        <v>4</v>
      </c>
      <c r="E86" s="205">
        <v>3</v>
      </c>
      <c r="F86" s="205">
        <f t="shared" si="9"/>
        <v>3.5</v>
      </c>
      <c r="G86" s="206">
        <v>4</v>
      </c>
      <c r="H86" s="205">
        <v>0.21199999999999999</v>
      </c>
      <c r="I86" s="205">
        <v>17.899999999999999</v>
      </c>
      <c r="J86" s="207">
        <f t="shared" si="10"/>
        <v>1.1843575418994414</v>
      </c>
      <c r="K86" s="205">
        <f t="shared" si="11"/>
        <v>4.5038797951582867E-2</v>
      </c>
      <c r="L86" s="205">
        <f t="shared" si="12"/>
        <v>7.3661757434268517E-12</v>
      </c>
      <c r="M86" s="205">
        <f t="shared" si="13"/>
        <v>6114271437.4922266</v>
      </c>
      <c r="N86" s="252">
        <f t="shared" si="14"/>
        <v>6.1142714374922269</v>
      </c>
      <c r="O86" s="207">
        <f t="shared" si="15"/>
        <v>1.1843575418994414</v>
      </c>
      <c r="P86" s="253">
        <f t="shared" si="16"/>
        <v>4.5038797951582867E-2</v>
      </c>
      <c r="Q86" s="254">
        <f t="shared" si="17"/>
        <v>6.1142714374922269</v>
      </c>
      <c r="AF86" s="24"/>
      <c r="AG86" s="202"/>
      <c r="AH86" s="191"/>
      <c r="AI86" s="37"/>
      <c r="AJ86" s="203"/>
      <c r="AK86" s="31"/>
      <c r="AL86" s="24"/>
      <c r="AM86" s="202"/>
      <c r="AN86" s="191"/>
      <c r="AO86" s="37"/>
      <c r="AP86" s="37"/>
      <c r="AQ86" s="37"/>
      <c r="AR86" s="24"/>
      <c r="AS86" s="202"/>
      <c r="AT86" s="191"/>
      <c r="AU86" s="24"/>
      <c r="AV86" s="202"/>
      <c r="AW86" s="191"/>
      <c r="AX86" s="24"/>
      <c r="AY86" s="202"/>
      <c r="AZ86" s="191"/>
      <c r="BA86" s="23"/>
      <c r="BB86" s="23"/>
      <c r="BC86" s="23"/>
      <c r="BD86" s="23"/>
      <c r="BE86" s="23"/>
      <c r="BF86" s="23"/>
      <c r="BG86" s="23"/>
      <c r="BH86" s="23"/>
      <c r="BI86" s="23"/>
      <c r="BJ86" s="24"/>
      <c r="BK86" s="202"/>
      <c r="BL86" s="191"/>
      <c r="BM86" s="37"/>
      <c r="BN86" s="203"/>
      <c r="BO86" s="31"/>
      <c r="BP86" s="24"/>
      <c r="BQ86" s="202"/>
      <c r="BR86" s="191"/>
      <c r="BS86" s="37"/>
      <c r="BT86" s="37"/>
      <c r="BU86" s="37"/>
      <c r="BV86" s="24"/>
      <c r="BW86" s="202"/>
      <c r="BX86" s="191"/>
      <c r="BY86" s="24"/>
      <c r="BZ86" s="202"/>
      <c r="CA86" s="191"/>
      <c r="CB86" s="24"/>
      <c r="CC86" s="202"/>
      <c r="CD86" s="191"/>
    </row>
    <row r="87" spans="1:82">
      <c r="A87" s="81">
        <v>21</v>
      </c>
      <c r="B87" s="82">
        <v>45</v>
      </c>
      <c r="C87" s="82">
        <v>45</v>
      </c>
      <c r="D87" s="82">
        <v>3</v>
      </c>
      <c r="E87" s="82">
        <v>1.5</v>
      </c>
      <c r="F87" s="82">
        <f t="shared" si="9"/>
        <v>2.25</v>
      </c>
      <c r="G87" s="200">
        <v>1</v>
      </c>
      <c r="H87" s="82">
        <v>5.8000000000000003E-2</v>
      </c>
      <c r="I87" s="82">
        <v>18.2</v>
      </c>
      <c r="J87" s="179">
        <f t="shared" si="10"/>
        <v>0.31868131868131871</v>
      </c>
      <c r="K87" s="82">
        <f t="shared" si="11"/>
        <v>9.6799450549450577E-3</v>
      </c>
      <c r="L87" s="3">
        <f t="shared" si="12"/>
        <v>1.2580559936647118E-12</v>
      </c>
      <c r="M87" s="3">
        <f t="shared" si="13"/>
        <v>7694367423.7800961</v>
      </c>
      <c r="N87" s="29">
        <f t="shared" si="14"/>
        <v>7.6943674237800961</v>
      </c>
      <c r="O87" s="30">
        <f t="shared" si="15"/>
        <v>0.31868131868131871</v>
      </c>
      <c r="P87" s="175">
        <f t="shared" si="16"/>
        <v>9.6799450549450577E-3</v>
      </c>
      <c r="Q87" s="26">
        <f t="shared" si="17"/>
        <v>7.6943674237800961</v>
      </c>
      <c r="AF87" s="24"/>
      <c r="AG87" s="202"/>
      <c r="AH87" s="191"/>
      <c r="AI87" s="37"/>
      <c r="AJ87" s="203"/>
      <c r="AK87" s="31"/>
      <c r="AL87" s="24"/>
      <c r="AM87" s="202"/>
      <c r="AN87" s="191"/>
      <c r="AO87" s="37"/>
      <c r="AP87" s="37"/>
      <c r="AQ87" s="37"/>
      <c r="AR87" s="24"/>
      <c r="AS87" s="202"/>
      <c r="AT87" s="191"/>
      <c r="AU87" s="24"/>
      <c r="AV87" s="202"/>
      <c r="AW87" s="191"/>
      <c r="AX87" s="24"/>
      <c r="AY87" s="202"/>
      <c r="AZ87" s="191"/>
      <c r="BA87" s="23"/>
      <c r="BB87" s="23"/>
      <c r="BC87" s="23"/>
      <c r="BD87" s="23"/>
      <c r="BE87" s="23"/>
      <c r="BF87" s="23"/>
      <c r="BG87" s="23"/>
      <c r="BH87" s="23"/>
      <c r="BI87" s="23"/>
      <c r="BJ87" s="24"/>
      <c r="BK87" s="202"/>
      <c r="BL87" s="191"/>
      <c r="BM87" s="37"/>
      <c r="BN87" s="203"/>
      <c r="BO87" s="31"/>
      <c r="BP87" s="24"/>
      <c r="BQ87" s="202"/>
      <c r="BR87" s="191"/>
      <c r="BS87" s="37"/>
      <c r="BT87" s="37"/>
      <c r="BU87" s="37"/>
      <c r="BV87" s="24"/>
      <c r="BW87" s="202"/>
      <c r="BX87" s="191"/>
      <c r="BY87" s="24"/>
      <c r="BZ87" s="202"/>
      <c r="CA87" s="191"/>
      <c r="CB87" s="24"/>
      <c r="CC87" s="202"/>
      <c r="CD87" s="191"/>
    </row>
    <row r="88" spans="1:82">
      <c r="A88" s="81">
        <v>21</v>
      </c>
      <c r="B88" s="82">
        <v>45</v>
      </c>
      <c r="C88" s="82">
        <f>C87</f>
        <v>45</v>
      </c>
      <c r="D88" s="82">
        <v>3</v>
      </c>
      <c r="E88" s="82">
        <v>1.5</v>
      </c>
      <c r="F88" s="82">
        <f t="shared" si="9"/>
        <v>2.25</v>
      </c>
      <c r="G88" s="200">
        <v>2</v>
      </c>
      <c r="H88" s="82">
        <v>4.7E-2</v>
      </c>
      <c r="I88" s="82">
        <v>19.399999999999999</v>
      </c>
      <c r="J88" s="179">
        <f t="shared" si="10"/>
        <v>0.24226804123711343</v>
      </c>
      <c r="K88" s="82">
        <f t="shared" si="11"/>
        <v>7.3588917525773219E-3</v>
      </c>
      <c r="L88" s="3">
        <f t="shared" si="12"/>
        <v>1.2580559936647118E-12</v>
      </c>
      <c r="M88" s="3">
        <f t="shared" si="13"/>
        <v>5849415121.1353483</v>
      </c>
      <c r="N88" s="29">
        <f t="shared" si="14"/>
        <v>5.8494151211353484</v>
      </c>
      <c r="O88" s="30">
        <f t="shared" si="15"/>
        <v>0.24226804123711343</v>
      </c>
      <c r="P88" s="175">
        <f t="shared" si="16"/>
        <v>7.3588917525773219E-3</v>
      </c>
      <c r="Q88" s="26">
        <f t="shared" si="17"/>
        <v>5.8494151211353484</v>
      </c>
      <c r="AF88" s="24"/>
      <c r="AG88" s="202"/>
      <c r="AH88" s="191"/>
      <c r="AI88" s="37"/>
      <c r="AJ88" s="203"/>
      <c r="AK88" s="31"/>
      <c r="AL88" s="24"/>
      <c r="AM88" s="202"/>
      <c r="AN88" s="191"/>
      <c r="AO88" s="37"/>
      <c r="AP88" s="37"/>
      <c r="AQ88" s="37"/>
      <c r="AR88" s="24"/>
      <c r="AS88" s="202"/>
      <c r="AT88" s="191"/>
      <c r="AU88" s="24"/>
      <c r="AV88" s="202"/>
      <c r="AW88" s="191"/>
      <c r="AX88" s="24"/>
      <c r="AY88" s="202"/>
      <c r="AZ88" s="191"/>
      <c r="BA88" s="23"/>
      <c r="BB88" s="23"/>
      <c r="BC88" s="23"/>
      <c r="BD88" s="23"/>
      <c r="BE88" s="23"/>
      <c r="BF88" s="23"/>
      <c r="BG88" s="23"/>
      <c r="BH88" s="23"/>
      <c r="BI88" s="23"/>
      <c r="BJ88" s="24"/>
      <c r="BK88" s="202"/>
      <c r="BL88" s="191"/>
      <c r="BM88" s="37"/>
      <c r="BN88" s="203"/>
      <c r="BO88" s="31"/>
      <c r="BP88" s="24"/>
      <c r="BQ88" s="202"/>
      <c r="BR88" s="191"/>
      <c r="BS88" s="37"/>
      <c r="BT88" s="37"/>
      <c r="BU88" s="37"/>
      <c r="BV88" s="24"/>
      <c r="BW88" s="202"/>
      <c r="BX88" s="191"/>
      <c r="BY88" s="24"/>
      <c r="BZ88" s="202"/>
      <c r="CA88" s="191"/>
      <c r="CB88" s="24"/>
      <c r="CC88" s="202"/>
      <c r="CD88" s="191"/>
    </row>
    <row r="89" spans="1:82">
      <c r="A89" s="81">
        <v>21</v>
      </c>
      <c r="B89" s="82">
        <v>45</v>
      </c>
      <c r="C89" s="82">
        <f>C88</f>
        <v>45</v>
      </c>
      <c r="D89" s="82">
        <v>3</v>
      </c>
      <c r="E89" s="82">
        <v>1.5</v>
      </c>
      <c r="F89" s="82">
        <f t="shared" si="9"/>
        <v>2.25</v>
      </c>
      <c r="G89" s="200">
        <v>3</v>
      </c>
      <c r="H89" s="82">
        <v>4.4999999999999998E-2</v>
      </c>
      <c r="I89" s="82">
        <v>18.899999999999999</v>
      </c>
      <c r="J89" s="179">
        <f t="shared" si="10"/>
        <v>0.23809523809523808</v>
      </c>
      <c r="K89" s="82">
        <f t="shared" si="11"/>
        <v>7.2321428571428571E-3</v>
      </c>
      <c r="L89" s="3">
        <f t="shared" si="12"/>
        <v>1.2580559936647118E-12</v>
      </c>
      <c r="M89" s="3">
        <f t="shared" si="13"/>
        <v>5748665316.6173115</v>
      </c>
      <c r="N89" s="29">
        <f t="shared" si="14"/>
        <v>5.7486653166173118</v>
      </c>
      <c r="O89" s="30">
        <f t="shared" si="15"/>
        <v>0.23809523809523808</v>
      </c>
      <c r="P89" s="175">
        <f t="shared" si="16"/>
        <v>7.2321428571428571E-3</v>
      </c>
      <c r="Q89" s="26">
        <f t="shared" si="17"/>
        <v>5.7486653166173118</v>
      </c>
      <c r="AF89" s="24"/>
      <c r="AG89" s="202"/>
      <c r="AH89" s="191"/>
      <c r="AI89" s="37"/>
      <c r="AJ89" s="203"/>
      <c r="AK89" s="31"/>
      <c r="AL89" s="24"/>
      <c r="AM89" s="202"/>
      <c r="AN89" s="191"/>
      <c r="AO89" s="37"/>
      <c r="AP89" s="37"/>
      <c r="AQ89" s="37"/>
      <c r="AR89" s="24"/>
      <c r="AS89" s="202"/>
      <c r="AT89" s="191"/>
      <c r="AU89" s="24"/>
      <c r="AV89" s="202"/>
      <c r="AW89" s="191"/>
      <c r="AX89" s="24"/>
      <c r="AY89" s="202"/>
      <c r="AZ89" s="191"/>
      <c r="BA89" s="23"/>
      <c r="BB89" s="23"/>
      <c r="BC89" s="23"/>
      <c r="BD89" s="23"/>
      <c r="BE89" s="23"/>
      <c r="BF89" s="23"/>
      <c r="BG89" s="23"/>
      <c r="BH89" s="23"/>
      <c r="BI89" s="23"/>
      <c r="BJ89" s="24"/>
      <c r="BK89" s="202"/>
      <c r="BL89" s="191"/>
      <c r="BM89" s="37"/>
      <c r="BN89" s="203"/>
      <c r="BO89" s="31"/>
      <c r="BP89" s="24"/>
      <c r="BQ89" s="202"/>
      <c r="BR89" s="191"/>
      <c r="BS89" s="37"/>
      <c r="BT89" s="37"/>
      <c r="BU89" s="37"/>
      <c r="BV89" s="24"/>
      <c r="BW89" s="202"/>
      <c r="BX89" s="191"/>
      <c r="BY89" s="24"/>
      <c r="BZ89" s="202"/>
      <c r="CA89" s="191"/>
      <c r="CB89" s="24"/>
      <c r="CC89" s="202"/>
      <c r="CD89" s="191"/>
    </row>
    <row r="90" spans="1:82">
      <c r="A90" s="81">
        <v>21</v>
      </c>
      <c r="B90" s="82">
        <v>45</v>
      </c>
      <c r="C90" s="82">
        <f>C89</f>
        <v>45</v>
      </c>
      <c r="D90" s="82">
        <v>3</v>
      </c>
      <c r="E90" s="82">
        <v>1.5</v>
      </c>
      <c r="F90" s="82">
        <f t="shared" si="9"/>
        <v>2.25</v>
      </c>
      <c r="G90" s="200">
        <v>4</v>
      </c>
      <c r="H90" s="82">
        <v>6.4000000000000001E-2</v>
      </c>
      <c r="I90" s="82">
        <v>18</v>
      </c>
      <c r="J90" s="179">
        <f t="shared" si="10"/>
        <v>0.35555555555555557</v>
      </c>
      <c r="K90" s="82">
        <f t="shared" si="11"/>
        <v>1.0800000000000002E-2</v>
      </c>
      <c r="L90" s="3">
        <f t="shared" si="12"/>
        <v>1.2580559936647118E-12</v>
      </c>
      <c r="M90" s="3">
        <f t="shared" si="13"/>
        <v>8584673539.4818535</v>
      </c>
      <c r="N90" s="29">
        <f t="shared" si="14"/>
        <v>8.5846735394818534</v>
      </c>
      <c r="O90" s="30">
        <f t="shared" si="15"/>
        <v>0.35555555555555557</v>
      </c>
      <c r="P90" s="175">
        <f t="shared" si="16"/>
        <v>1.0800000000000002E-2</v>
      </c>
      <c r="Q90" s="26">
        <f t="shared" si="17"/>
        <v>8.5846735394818534</v>
      </c>
      <c r="AF90" s="24"/>
      <c r="AG90" s="202"/>
      <c r="AH90" s="191"/>
      <c r="AI90" s="37"/>
      <c r="AJ90" s="203"/>
      <c r="AK90" s="31"/>
      <c r="AL90" s="24"/>
      <c r="AM90" s="202"/>
      <c r="AN90" s="191"/>
      <c r="AO90" s="37"/>
      <c r="AP90" s="37"/>
      <c r="AQ90" s="37"/>
      <c r="AR90" s="24"/>
      <c r="AS90" s="202"/>
      <c r="AT90" s="191"/>
      <c r="AU90" s="24"/>
      <c r="AV90" s="202"/>
      <c r="AW90" s="191"/>
      <c r="AX90" s="24"/>
      <c r="AY90" s="202"/>
      <c r="AZ90" s="191"/>
      <c r="BA90" s="23"/>
      <c r="BB90" s="23"/>
      <c r="BC90" s="23"/>
      <c r="BD90" s="23"/>
      <c r="BE90" s="23"/>
      <c r="BF90" s="23"/>
      <c r="BG90" s="23"/>
      <c r="BH90" s="23"/>
      <c r="BI90" s="23"/>
      <c r="BJ90" s="24"/>
      <c r="BK90" s="202"/>
      <c r="BL90" s="191"/>
      <c r="BM90" s="37"/>
      <c r="BN90" s="203"/>
      <c r="BO90" s="31"/>
      <c r="BP90" s="24"/>
      <c r="BQ90" s="202"/>
      <c r="BR90" s="191"/>
      <c r="BS90" s="37"/>
      <c r="BT90" s="37"/>
      <c r="BU90" s="37"/>
      <c r="BV90" s="24"/>
      <c r="BW90" s="202"/>
      <c r="BX90" s="191"/>
      <c r="BY90" s="24"/>
      <c r="BZ90" s="202"/>
      <c r="CA90" s="191"/>
      <c r="CB90" s="24"/>
      <c r="CC90" s="202"/>
      <c r="CD90" s="191"/>
    </row>
    <row r="91" spans="1:82">
      <c r="A91" s="204">
        <v>22</v>
      </c>
      <c r="B91" s="205">
        <v>44.5</v>
      </c>
      <c r="C91" s="205">
        <v>73</v>
      </c>
      <c r="D91" s="205">
        <v>3.5</v>
      </c>
      <c r="E91" s="205">
        <v>3</v>
      </c>
      <c r="F91" s="205">
        <f t="shared" si="9"/>
        <v>3.25</v>
      </c>
      <c r="G91" s="206">
        <v>1</v>
      </c>
      <c r="H91" s="205">
        <v>0.112</v>
      </c>
      <c r="I91" s="205">
        <v>20.7</v>
      </c>
      <c r="J91" s="207">
        <f t="shared" si="10"/>
        <v>0.54106280193236722</v>
      </c>
      <c r="K91" s="205">
        <f t="shared" si="11"/>
        <v>7.016087600644122E-2</v>
      </c>
      <c r="L91" s="205">
        <f t="shared" si="12"/>
        <v>5.4765031603502276E-12</v>
      </c>
      <c r="M91" s="205">
        <f t="shared" si="13"/>
        <v>12811254545.492559</v>
      </c>
      <c r="N91" s="252">
        <f t="shared" si="14"/>
        <v>12.811254545492559</v>
      </c>
      <c r="O91" s="207">
        <f t="shared" si="15"/>
        <v>0.54106280193236722</v>
      </c>
      <c r="P91" s="253">
        <f t="shared" si="16"/>
        <v>7.016087600644122E-2</v>
      </c>
      <c r="Q91" s="254">
        <f t="shared" si="17"/>
        <v>12.811254545492559</v>
      </c>
      <c r="AF91" s="24"/>
      <c r="AG91" s="202"/>
      <c r="AH91" s="191"/>
      <c r="AI91" s="37"/>
      <c r="AJ91" s="203"/>
      <c r="AK91" s="31"/>
      <c r="AL91" s="24"/>
      <c r="AM91" s="202"/>
      <c r="AN91" s="191"/>
      <c r="AO91" s="37"/>
      <c r="AP91" s="37"/>
      <c r="AQ91" s="37"/>
      <c r="AR91" s="24"/>
      <c r="AS91" s="202"/>
      <c r="AT91" s="191"/>
      <c r="AU91" s="24"/>
      <c r="AV91" s="202"/>
      <c r="AW91" s="191"/>
      <c r="AX91" s="24"/>
      <c r="AY91" s="202"/>
      <c r="AZ91" s="191"/>
      <c r="BA91" s="23"/>
      <c r="BB91" s="23"/>
      <c r="BC91" s="23"/>
      <c r="BD91" s="23"/>
      <c r="BE91" s="23"/>
      <c r="BF91" s="23"/>
      <c r="BG91" s="23"/>
      <c r="BH91" s="23"/>
      <c r="BI91" s="23"/>
      <c r="BJ91" s="24"/>
      <c r="BK91" s="202"/>
      <c r="BL91" s="191"/>
      <c r="BM91" s="37"/>
      <c r="BN91" s="203"/>
      <c r="BO91" s="31"/>
      <c r="BP91" s="24"/>
      <c r="BQ91" s="202"/>
      <c r="BR91" s="191"/>
      <c r="BS91" s="37"/>
      <c r="BT91" s="37"/>
      <c r="BU91" s="37"/>
      <c r="BV91" s="24"/>
      <c r="BW91" s="202"/>
      <c r="BX91" s="191"/>
      <c r="BY91" s="24"/>
      <c r="BZ91" s="202"/>
      <c r="CA91" s="191"/>
      <c r="CB91" s="24"/>
      <c r="CC91" s="202"/>
      <c r="CD91" s="191"/>
    </row>
    <row r="92" spans="1:82">
      <c r="A92" s="204">
        <v>22</v>
      </c>
      <c r="B92" s="205">
        <v>44.5</v>
      </c>
      <c r="C92" s="205">
        <v>73</v>
      </c>
      <c r="D92" s="205">
        <v>3.5</v>
      </c>
      <c r="E92" s="205">
        <v>3</v>
      </c>
      <c r="F92" s="205">
        <f t="shared" si="9"/>
        <v>3.25</v>
      </c>
      <c r="G92" s="206">
        <v>2</v>
      </c>
      <c r="H92" s="205">
        <v>9.1999999999999998E-2</v>
      </c>
      <c r="I92" s="205">
        <v>22.9</v>
      </c>
      <c r="J92" s="207">
        <f t="shared" si="10"/>
        <v>0.40174672489082974</v>
      </c>
      <c r="K92" s="205">
        <f t="shared" si="11"/>
        <v>5.209543522561863E-2</v>
      </c>
      <c r="L92" s="205">
        <f t="shared" si="12"/>
        <v>5.4765031603502276E-12</v>
      </c>
      <c r="M92" s="205">
        <f t="shared" si="13"/>
        <v>9512536321.1307049</v>
      </c>
      <c r="N92" s="252">
        <f t="shared" si="14"/>
        <v>9.512536321130705</v>
      </c>
      <c r="O92" s="207">
        <f t="shared" si="15"/>
        <v>0.40174672489082974</v>
      </c>
      <c r="P92" s="253">
        <f t="shared" si="16"/>
        <v>5.209543522561863E-2</v>
      </c>
      <c r="Q92" s="254">
        <f t="shared" si="17"/>
        <v>9.512536321130705</v>
      </c>
      <c r="AF92" s="24"/>
      <c r="AG92" s="202"/>
      <c r="AH92" s="191"/>
      <c r="AI92" s="37"/>
      <c r="AJ92" s="203"/>
      <c r="AK92" s="31"/>
      <c r="AL92" s="24"/>
      <c r="AM92" s="202"/>
      <c r="AN92" s="191"/>
      <c r="AO92" s="37"/>
      <c r="AP92" s="37"/>
      <c r="AQ92" s="37"/>
      <c r="AR92" s="24"/>
      <c r="AS92" s="202"/>
      <c r="AT92" s="191"/>
      <c r="AU92" s="24"/>
      <c r="AV92" s="202"/>
      <c r="AW92" s="191"/>
      <c r="AX92" s="24"/>
      <c r="AY92" s="202"/>
      <c r="AZ92" s="191"/>
      <c r="BA92" s="23"/>
      <c r="BB92" s="23"/>
      <c r="BC92" s="23"/>
      <c r="BD92" s="23"/>
      <c r="BE92" s="23"/>
      <c r="BF92" s="23"/>
      <c r="BG92" s="23"/>
      <c r="BH92" s="23"/>
      <c r="BI92" s="23"/>
      <c r="BJ92" s="24"/>
      <c r="BK92" s="202"/>
      <c r="BL92" s="191"/>
      <c r="BM92" s="37"/>
      <c r="BN92" s="203"/>
      <c r="BO92" s="31"/>
      <c r="BP92" s="24"/>
      <c r="BQ92" s="202"/>
      <c r="BR92" s="191"/>
      <c r="BS92" s="37"/>
      <c r="BT92" s="37"/>
      <c r="BU92" s="37"/>
      <c r="BV92" s="24"/>
      <c r="BW92" s="202"/>
      <c r="BX92" s="191"/>
      <c r="BY92" s="24"/>
      <c r="BZ92" s="202"/>
      <c r="CA92" s="191"/>
      <c r="CB92" s="24"/>
      <c r="CC92" s="202"/>
      <c r="CD92" s="191"/>
    </row>
    <row r="93" spans="1:82">
      <c r="A93" s="204">
        <v>22</v>
      </c>
      <c r="B93" s="205">
        <v>44.5</v>
      </c>
      <c r="C93" s="205">
        <v>73</v>
      </c>
      <c r="D93" s="205">
        <v>3.5</v>
      </c>
      <c r="E93" s="205">
        <v>3</v>
      </c>
      <c r="F93" s="205">
        <f t="shared" si="9"/>
        <v>3.25</v>
      </c>
      <c r="G93" s="206">
        <v>3</v>
      </c>
      <c r="H93" s="205">
        <v>0.113</v>
      </c>
      <c r="I93" s="205">
        <v>26.5</v>
      </c>
      <c r="J93" s="207">
        <f t="shared" si="10"/>
        <v>0.42641509433962266</v>
      </c>
      <c r="K93" s="205">
        <f t="shared" si="11"/>
        <v>5.529424025157232E-2</v>
      </c>
      <c r="L93" s="205">
        <f t="shared" si="12"/>
        <v>5.4765031603502276E-12</v>
      </c>
      <c r="M93" s="205">
        <f t="shared" si="13"/>
        <v>10096632583.342873</v>
      </c>
      <c r="N93" s="252">
        <f t="shared" si="14"/>
        <v>10.096632583342872</v>
      </c>
      <c r="O93" s="207">
        <f t="shared" si="15"/>
        <v>0.42641509433962266</v>
      </c>
      <c r="P93" s="253">
        <f t="shared" si="16"/>
        <v>5.529424025157232E-2</v>
      </c>
      <c r="Q93" s="254">
        <f t="shared" si="17"/>
        <v>10.096632583342872</v>
      </c>
      <c r="AF93" s="24"/>
      <c r="AG93" s="202"/>
      <c r="AH93" s="191"/>
      <c r="AI93" s="37"/>
      <c r="AJ93" s="203"/>
      <c r="AK93" s="31"/>
      <c r="AL93" s="24"/>
      <c r="AM93" s="202"/>
      <c r="AN93" s="191"/>
      <c r="AO93" s="37"/>
      <c r="AP93" s="37"/>
      <c r="AQ93" s="37"/>
      <c r="AR93" s="24"/>
      <c r="AS93" s="202"/>
      <c r="AT93" s="191"/>
      <c r="AU93" s="24"/>
      <c r="AV93" s="202"/>
      <c r="AW93" s="191"/>
      <c r="AX93" s="24"/>
      <c r="AY93" s="202"/>
      <c r="AZ93" s="191"/>
      <c r="BA93" s="23"/>
      <c r="BB93" s="23"/>
      <c r="BC93" s="23"/>
      <c r="BD93" s="23"/>
      <c r="BE93" s="23"/>
      <c r="BF93" s="23"/>
      <c r="BG93" s="23"/>
      <c r="BH93" s="23"/>
      <c r="BI93" s="23"/>
      <c r="BJ93" s="24"/>
      <c r="BK93" s="202"/>
      <c r="BL93" s="191"/>
      <c r="BM93" s="37"/>
      <c r="BN93" s="203"/>
      <c r="BO93" s="31"/>
      <c r="BP93" s="24"/>
      <c r="BQ93" s="202"/>
      <c r="BR93" s="191"/>
      <c r="BS93" s="37"/>
      <c r="BT93" s="37"/>
      <c r="BU93" s="37"/>
      <c r="BV93" s="24"/>
      <c r="BW93" s="202"/>
      <c r="BX93" s="191"/>
      <c r="BY93" s="24"/>
      <c r="BZ93" s="202"/>
      <c r="CA93" s="191"/>
      <c r="CB93" s="24"/>
      <c r="CC93" s="202"/>
      <c r="CD93" s="191"/>
    </row>
    <row r="94" spans="1:82">
      <c r="A94" s="204">
        <v>22</v>
      </c>
      <c r="B94" s="205">
        <v>44.5</v>
      </c>
      <c r="C94" s="205">
        <v>73</v>
      </c>
      <c r="D94" s="205">
        <v>3.5</v>
      </c>
      <c r="E94" s="205">
        <v>3</v>
      </c>
      <c r="F94" s="205">
        <f t="shared" si="9"/>
        <v>3.25</v>
      </c>
      <c r="G94" s="206">
        <v>4</v>
      </c>
      <c r="H94" s="205">
        <v>0.13400000000000001</v>
      </c>
      <c r="I94" s="205">
        <v>24.6</v>
      </c>
      <c r="J94" s="207">
        <f t="shared" si="10"/>
        <v>0.54471544715447151</v>
      </c>
      <c r="K94" s="205">
        <f t="shared" si="11"/>
        <v>7.0634523035230337E-2</v>
      </c>
      <c r="L94" s="205">
        <f t="shared" si="12"/>
        <v>5.4765031603502276E-12</v>
      </c>
      <c r="M94" s="205">
        <f t="shared" si="13"/>
        <v>12897741673.304028</v>
      </c>
      <c r="N94" s="252">
        <f t="shared" si="14"/>
        <v>12.897741673304028</v>
      </c>
      <c r="O94" s="207">
        <f t="shared" si="15"/>
        <v>0.54471544715447151</v>
      </c>
      <c r="P94" s="253">
        <f t="shared" si="16"/>
        <v>7.0634523035230337E-2</v>
      </c>
      <c r="Q94" s="254">
        <f t="shared" si="17"/>
        <v>12.897741673304028</v>
      </c>
      <c r="AF94" s="24"/>
      <c r="AG94" s="202"/>
      <c r="AH94" s="191"/>
      <c r="AI94" s="37"/>
      <c r="AJ94" s="203"/>
      <c r="AK94" s="31"/>
      <c r="AL94" s="24"/>
      <c r="AM94" s="202"/>
      <c r="AN94" s="191"/>
      <c r="AO94" s="37"/>
      <c r="AP94" s="37"/>
      <c r="AQ94" s="37"/>
      <c r="AR94" s="24"/>
      <c r="AS94" s="202"/>
      <c r="AT94" s="191"/>
      <c r="AU94" s="24"/>
      <c r="AV94" s="202"/>
      <c r="AW94" s="191"/>
      <c r="AX94" s="24"/>
      <c r="AY94" s="202"/>
      <c r="AZ94" s="191"/>
      <c r="BA94" s="23"/>
      <c r="BB94" s="23"/>
      <c r="BC94" s="23"/>
      <c r="BD94" s="23"/>
      <c r="BE94" s="23"/>
      <c r="BF94" s="23"/>
      <c r="BG94" s="23"/>
      <c r="BH94" s="23"/>
      <c r="BI94" s="23"/>
      <c r="BJ94" s="24"/>
      <c r="BK94" s="202"/>
      <c r="BL94" s="191"/>
      <c r="BM94" s="37"/>
      <c r="BN94" s="203"/>
      <c r="BO94" s="31"/>
      <c r="BP94" s="24"/>
      <c r="BQ94" s="202"/>
      <c r="BR94" s="191"/>
      <c r="BS94" s="37"/>
      <c r="BT94" s="37"/>
      <c r="BU94" s="37"/>
      <c r="BV94" s="24"/>
      <c r="BW94" s="202"/>
      <c r="BX94" s="191"/>
      <c r="BY94" s="24"/>
      <c r="BZ94" s="202"/>
      <c r="CA94" s="191"/>
      <c r="CB94" s="24"/>
      <c r="CC94" s="202"/>
      <c r="CD94" s="191"/>
    </row>
    <row r="95" spans="1:82">
      <c r="A95" s="81">
        <v>23</v>
      </c>
      <c r="B95" s="82">
        <v>41.5</v>
      </c>
      <c r="C95" s="82">
        <v>63</v>
      </c>
      <c r="D95" s="82">
        <v>3.5</v>
      </c>
      <c r="E95" s="82">
        <v>3</v>
      </c>
      <c r="F95" s="82">
        <f t="shared" si="9"/>
        <v>3.25</v>
      </c>
      <c r="G95" s="200">
        <v>1</v>
      </c>
      <c r="H95" s="82">
        <v>0.125</v>
      </c>
      <c r="I95" s="82">
        <v>21.8</v>
      </c>
      <c r="J95" s="179">
        <f t="shared" si="10"/>
        <v>0.57339449541284404</v>
      </c>
      <c r="K95" s="82">
        <f t="shared" si="11"/>
        <v>4.7791857798165138E-2</v>
      </c>
      <c r="L95" s="3">
        <f t="shared" si="12"/>
        <v>5.4765031603502276E-12</v>
      </c>
      <c r="M95" s="3">
        <f t="shared" si="13"/>
        <v>8726710530.2115459</v>
      </c>
      <c r="N95" s="29">
        <f t="shared" si="14"/>
        <v>8.7267105302115464</v>
      </c>
      <c r="O95" s="30">
        <f t="shared" si="15"/>
        <v>0.57339449541284404</v>
      </c>
      <c r="P95" s="175">
        <f t="shared" si="16"/>
        <v>4.7791857798165138E-2</v>
      </c>
      <c r="Q95" s="26">
        <f t="shared" si="17"/>
        <v>8.7267105302115464</v>
      </c>
      <c r="AF95" s="24"/>
      <c r="AG95" s="202"/>
      <c r="AH95" s="191"/>
      <c r="AI95" s="37"/>
      <c r="AJ95" s="203"/>
      <c r="AK95" s="31"/>
      <c r="AL95" s="24"/>
      <c r="AM95" s="202"/>
      <c r="AN95" s="191"/>
      <c r="AO95" s="37"/>
      <c r="AP95" s="37"/>
      <c r="AQ95" s="37"/>
      <c r="AR95" s="24"/>
      <c r="AS95" s="202"/>
      <c r="AT95" s="191"/>
      <c r="AU95" s="24"/>
      <c r="AV95" s="202"/>
      <c r="AW95" s="191"/>
      <c r="AX95" s="24"/>
      <c r="AY95" s="202"/>
      <c r="AZ95" s="191"/>
      <c r="BA95" s="23"/>
      <c r="BB95" s="23"/>
      <c r="BC95" s="23"/>
      <c r="BD95" s="23"/>
      <c r="BE95" s="23"/>
      <c r="BF95" s="23"/>
      <c r="BG95" s="23"/>
      <c r="BH95" s="23"/>
      <c r="BI95" s="23"/>
      <c r="BJ95" s="24"/>
      <c r="BK95" s="202"/>
      <c r="BL95" s="191"/>
      <c r="BM95" s="37"/>
      <c r="BN95" s="203"/>
      <c r="BO95" s="31"/>
      <c r="BP95" s="24"/>
      <c r="BQ95" s="202"/>
      <c r="BR95" s="191"/>
      <c r="BS95" s="37"/>
      <c r="BT95" s="37"/>
      <c r="BU95" s="37"/>
      <c r="BV95" s="24"/>
      <c r="BW95" s="202"/>
      <c r="BX95" s="191"/>
      <c r="BY95" s="24"/>
      <c r="BZ95" s="202"/>
      <c r="CA95" s="191"/>
      <c r="CB95" s="24"/>
      <c r="CC95" s="202"/>
      <c r="CD95" s="191"/>
    </row>
    <row r="96" spans="1:82">
      <c r="A96" s="81">
        <v>23</v>
      </c>
      <c r="B96" s="82">
        <v>41.5</v>
      </c>
      <c r="C96" s="82">
        <v>63</v>
      </c>
      <c r="D96" s="82">
        <v>3.5</v>
      </c>
      <c r="E96" s="82">
        <v>3</v>
      </c>
      <c r="F96" s="82">
        <f t="shared" si="9"/>
        <v>3.25</v>
      </c>
      <c r="G96" s="200">
        <v>2</v>
      </c>
      <c r="H96" s="82">
        <v>8.5000000000000006E-2</v>
      </c>
      <c r="I96" s="82">
        <v>24.1</v>
      </c>
      <c r="J96" s="179">
        <f t="shared" si="10"/>
        <v>0.35269709543568467</v>
      </c>
      <c r="K96" s="82">
        <f t="shared" si="11"/>
        <v>2.9396950207468884E-2</v>
      </c>
      <c r="L96" s="3">
        <f t="shared" si="12"/>
        <v>5.4765031603502276E-12</v>
      </c>
      <c r="M96" s="3">
        <f t="shared" si="13"/>
        <v>5367832236.5085459</v>
      </c>
      <c r="N96" s="29">
        <f t="shared" si="14"/>
        <v>5.367832236508546</v>
      </c>
      <c r="O96" s="30">
        <f t="shared" si="15"/>
        <v>0.35269709543568467</v>
      </c>
      <c r="P96" s="175">
        <f t="shared" si="16"/>
        <v>2.9396950207468884E-2</v>
      </c>
      <c r="Q96" s="26">
        <f t="shared" si="17"/>
        <v>5.367832236508546</v>
      </c>
      <c r="AF96" s="24"/>
      <c r="AG96" s="202"/>
      <c r="AH96" s="191"/>
      <c r="AI96" s="37"/>
      <c r="AJ96" s="203"/>
      <c r="AK96" s="31"/>
      <c r="AL96" s="24"/>
      <c r="AM96" s="202"/>
      <c r="AN96" s="191"/>
      <c r="AO96" s="37"/>
      <c r="AP96" s="37"/>
      <c r="AQ96" s="37"/>
      <c r="AR96" s="24"/>
      <c r="AS96" s="202"/>
      <c r="AT96" s="191"/>
      <c r="AU96" s="24"/>
      <c r="AV96" s="202"/>
      <c r="AW96" s="191"/>
      <c r="AX96" s="24"/>
      <c r="AY96" s="202"/>
      <c r="AZ96" s="191"/>
      <c r="BA96" s="23"/>
      <c r="BB96" s="23"/>
      <c r="BC96" s="23"/>
      <c r="BD96" s="23"/>
      <c r="BE96" s="23"/>
      <c r="BF96" s="23"/>
      <c r="BG96" s="23"/>
      <c r="BH96" s="23"/>
      <c r="BI96" s="23"/>
      <c r="BJ96" s="24"/>
      <c r="BK96" s="202"/>
      <c r="BL96" s="191"/>
      <c r="BM96" s="37"/>
      <c r="BN96" s="203"/>
      <c r="BO96" s="31"/>
      <c r="BP96" s="24"/>
      <c r="BQ96" s="202"/>
      <c r="BR96" s="191"/>
      <c r="BS96" s="37"/>
      <c r="BT96" s="37"/>
      <c r="BU96" s="37"/>
      <c r="BV96" s="24"/>
      <c r="BW96" s="202"/>
      <c r="BX96" s="191"/>
      <c r="BY96" s="24"/>
      <c r="BZ96" s="202"/>
      <c r="CA96" s="191"/>
      <c r="CB96" s="24"/>
      <c r="CC96" s="202"/>
      <c r="CD96" s="191"/>
    </row>
    <row r="97" spans="1:82">
      <c r="A97" s="81">
        <v>23</v>
      </c>
      <c r="B97" s="82">
        <v>41.5</v>
      </c>
      <c r="C97" s="82">
        <v>63</v>
      </c>
      <c r="D97" s="82">
        <v>3.5</v>
      </c>
      <c r="E97" s="82">
        <v>3</v>
      </c>
      <c r="F97" s="82">
        <f t="shared" si="9"/>
        <v>3.25</v>
      </c>
      <c r="G97" s="200">
        <v>3</v>
      </c>
      <c r="H97" s="82">
        <v>7.9000000000000001E-2</v>
      </c>
      <c r="I97" s="82">
        <v>23.5</v>
      </c>
      <c r="J97" s="179">
        <f t="shared" si="10"/>
        <v>0.33617021276595743</v>
      </c>
      <c r="K97" s="82">
        <f t="shared" si="11"/>
        <v>2.8019451063829789E-2</v>
      </c>
      <c r="L97" s="3">
        <f t="shared" si="12"/>
        <v>5.4765031603502276E-12</v>
      </c>
      <c r="M97" s="3">
        <f t="shared" si="13"/>
        <v>5116303276.64011</v>
      </c>
      <c r="N97" s="29">
        <f t="shared" si="14"/>
        <v>5.1163032766401102</v>
      </c>
      <c r="O97" s="30">
        <f t="shared" si="15"/>
        <v>0.33617021276595743</v>
      </c>
      <c r="P97" s="175">
        <f t="shared" si="16"/>
        <v>2.8019451063829789E-2</v>
      </c>
      <c r="Q97" s="26">
        <f t="shared" si="17"/>
        <v>5.1163032766401102</v>
      </c>
      <c r="AF97" s="24"/>
      <c r="AG97" s="202"/>
      <c r="AH97" s="191"/>
      <c r="AI97" s="37"/>
      <c r="AJ97" s="203"/>
      <c r="AK97" s="31"/>
      <c r="AL97" s="24"/>
      <c r="AM97" s="202"/>
      <c r="AN97" s="191"/>
      <c r="AO97" s="37"/>
      <c r="AP97" s="37"/>
      <c r="AQ97" s="37"/>
      <c r="AR97" s="24"/>
      <c r="AS97" s="202"/>
      <c r="AT97" s="191"/>
      <c r="AU97" s="24"/>
      <c r="AV97" s="202"/>
      <c r="AW97" s="191"/>
      <c r="AX97" s="24"/>
      <c r="AY97" s="202"/>
      <c r="AZ97" s="191"/>
      <c r="BA97" s="23"/>
      <c r="BB97" s="23"/>
      <c r="BC97" s="23"/>
      <c r="BD97" s="23"/>
      <c r="BE97" s="23"/>
      <c r="BF97" s="23"/>
      <c r="BG97" s="23"/>
      <c r="BH97" s="23"/>
      <c r="BI97" s="23"/>
      <c r="BJ97" s="24"/>
      <c r="BK97" s="202"/>
      <c r="BL97" s="191"/>
      <c r="BM97" s="37"/>
      <c r="BN97" s="203"/>
      <c r="BO97" s="31"/>
      <c r="BP97" s="24"/>
      <c r="BQ97" s="202"/>
      <c r="BR97" s="191"/>
      <c r="BS97" s="37"/>
      <c r="BT97" s="37"/>
      <c r="BU97" s="37"/>
      <c r="BV97" s="24"/>
      <c r="BW97" s="202"/>
      <c r="BX97" s="191"/>
      <c r="BY97" s="24"/>
      <c r="BZ97" s="202"/>
      <c r="CA97" s="191"/>
      <c r="CB97" s="24"/>
      <c r="CC97" s="202"/>
      <c r="CD97" s="191"/>
    </row>
    <row r="98" spans="1:82">
      <c r="A98" s="81">
        <v>23</v>
      </c>
      <c r="B98" s="82">
        <v>41.5</v>
      </c>
      <c r="C98" s="82">
        <v>63</v>
      </c>
      <c r="D98" s="82">
        <v>3.5</v>
      </c>
      <c r="E98" s="82">
        <v>3</v>
      </c>
      <c r="F98" s="82">
        <f t="shared" si="9"/>
        <v>3.25</v>
      </c>
      <c r="G98" s="200">
        <v>4</v>
      </c>
      <c r="H98" s="82">
        <v>9.1999999999999998E-2</v>
      </c>
      <c r="I98" s="82">
        <v>25.1</v>
      </c>
      <c r="J98" s="179">
        <f t="shared" si="10"/>
        <v>0.36653386454183268</v>
      </c>
      <c r="K98" s="82">
        <f t="shared" si="11"/>
        <v>3.0550231075697213E-2</v>
      </c>
      <c r="L98" s="3">
        <f t="shared" si="12"/>
        <v>5.4765031603502276E-12</v>
      </c>
      <c r="M98" s="3">
        <f t="shared" si="13"/>
        <v>5578419327.2963428</v>
      </c>
      <c r="N98" s="29">
        <f t="shared" si="14"/>
        <v>5.5784193272963432</v>
      </c>
      <c r="O98" s="30">
        <f t="shared" si="15"/>
        <v>0.36653386454183268</v>
      </c>
      <c r="P98" s="175">
        <f t="shared" si="16"/>
        <v>3.0550231075697213E-2</v>
      </c>
      <c r="Q98" s="26">
        <f t="shared" si="17"/>
        <v>5.5784193272963432</v>
      </c>
      <c r="AF98" s="24"/>
      <c r="AG98" s="202"/>
      <c r="AH98" s="191"/>
      <c r="AI98" s="37"/>
      <c r="AJ98" s="203"/>
      <c r="AK98" s="31"/>
      <c r="AL98" s="24"/>
      <c r="AM98" s="202"/>
      <c r="AN98" s="191"/>
      <c r="AO98" s="37"/>
      <c r="AP98" s="37"/>
      <c r="AQ98" s="37"/>
      <c r="AR98" s="24"/>
      <c r="AS98" s="202"/>
      <c r="AT98" s="191"/>
      <c r="AU98" s="24"/>
      <c r="AV98" s="202"/>
      <c r="AW98" s="191"/>
      <c r="AX98" s="24"/>
      <c r="AY98" s="202"/>
      <c r="AZ98" s="191"/>
      <c r="BA98" s="23"/>
      <c r="BB98" s="23"/>
      <c r="BC98" s="23"/>
      <c r="BD98" s="23"/>
      <c r="BE98" s="23"/>
      <c r="BF98" s="23"/>
      <c r="BG98" s="23"/>
      <c r="BH98" s="23"/>
      <c r="BI98" s="23"/>
      <c r="BJ98" s="24"/>
      <c r="BK98" s="202"/>
      <c r="BL98" s="191"/>
      <c r="BM98" s="37"/>
      <c r="BN98" s="203"/>
      <c r="BO98" s="31"/>
      <c r="BP98" s="24"/>
      <c r="BQ98" s="202"/>
      <c r="BR98" s="191"/>
      <c r="BS98" s="37"/>
      <c r="BT98" s="37"/>
      <c r="BU98" s="37"/>
      <c r="BV98" s="24"/>
      <c r="BW98" s="202"/>
      <c r="BX98" s="191"/>
      <c r="BY98" s="24"/>
      <c r="BZ98" s="202"/>
      <c r="CA98" s="191"/>
      <c r="CB98" s="24"/>
      <c r="CC98" s="202"/>
      <c r="CD98" s="191"/>
    </row>
    <row r="99" spans="1:82">
      <c r="A99" s="204">
        <v>24</v>
      </c>
      <c r="B99" s="205">
        <v>35.5</v>
      </c>
      <c r="C99" s="205">
        <v>48</v>
      </c>
      <c r="D99" s="205">
        <v>4</v>
      </c>
      <c r="E99" s="205">
        <v>3</v>
      </c>
      <c r="F99" s="205">
        <f t="shared" si="9"/>
        <v>3.5</v>
      </c>
      <c r="G99" s="206">
        <v>1</v>
      </c>
      <c r="H99" s="205">
        <v>0.23200000000000001</v>
      </c>
      <c r="I99" s="205">
        <v>18.2</v>
      </c>
      <c r="J99" s="207">
        <f t="shared" si="10"/>
        <v>1.2747252747252749</v>
      </c>
      <c r="K99" s="205">
        <f t="shared" si="11"/>
        <v>4.6991472527472537E-2</v>
      </c>
      <c r="L99" s="205">
        <f t="shared" si="12"/>
        <v>7.3661757434268517E-12</v>
      </c>
      <c r="M99" s="205">
        <f t="shared" si="13"/>
        <v>6379358050.1259432</v>
      </c>
      <c r="N99" s="252">
        <f t="shared" si="14"/>
        <v>6.3793580501259433</v>
      </c>
      <c r="O99" s="207">
        <f t="shared" si="15"/>
        <v>1.2747252747252749</v>
      </c>
      <c r="P99" s="253">
        <f t="shared" si="16"/>
        <v>4.6991472527472537E-2</v>
      </c>
      <c r="Q99" s="254">
        <f t="shared" si="17"/>
        <v>6.3793580501259433</v>
      </c>
      <c r="AF99" s="24"/>
      <c r="AG99" s="202"/>
      <c r="AH99" s="191"/>
      <c r="AI99" s="37"/>
      <c r="AJ99" s="203"/>
      <c r="AK99" s="31"/>
      <c r="AL99" s="24"/>
      <c r="AM99" s="202"/>
      <c r="AN99" s="191"/>
      <c r="AO99" s="37"/>
      <c r="AP99" s="37"/>
      <c r="AQ99" s="37"/>
      <c r="AR99" s="24"/>
      <c r="AS99" s="202"/>
      <c r="AT99" s="191"/>
      <c r="AU99" s="24"/>
      <c r="AV99" s="202"/>
      <c r="AW99" s="191"/>
      <c r="AX99" s="24"/>
      <c r="AY99" s="202"/>
      <c r="AZ99" s="191"/>
      <c r="BA99" s="23"/>
      <c r="BB99" s="23"/>
      <c r="BC99" s="23"/>
      <c r="BD99" s="23"/>
      <c r="BE99" s="23"/>
      <c r="BF99" s="23"/>
      <c r="BG99" s="23"/>
      <c r="BH99" s="23"/>
      <c r="BI99" s="23"/>
      <c r="BJ99" s="24"/>
      <c r="BK99" s="202"/>
      <c r="BL99" s="191"/>
      <c r="BM99" s="37"/>
      <c r="BN99" s="203"/>
      <c r="BO99" s="31"/>
      <c r="BP99" s="24"/>
      <c r="BQ99" s="202"/>
      <c r="BR99" s="191"/>
      <c r="BS99" s="37"/>
      <c r="BT99" s="37"/>
      <c r="BU99" s="37"/>
      <c r="BV99" s="24"/>
      <c r="BW99" s="202"/>
      <c r="BX99" s="191"/>
      <c r="BY99" s="24"/>
      <c r="BZ99" s="202"/>
      <c r="CA99" s="191"/>
      <c r="CB99" s="24"/>
      <c r="CC99" s="202"/>
      <c r="CD99" s="191"/>
    </row>
    <row r="100" spans="1:82">
      <c r="A100" s="204">
        <v>24</v>
      </c>
      <c r="B100" s="205">
        <v>35.5</v>
      </c>
      <c r="C100" s="205">
        <v>48</v>
      </c>
      <c r="D100" s="205">
        <v>4</v>
      </c>
      <c r="E100" s="205">
        <v>3</v>
      </c>
      <c r="F100" s="205">
        <f t="shared" si="9"/>
        <v>3.5</v>
      </c>
      <c r="G100" s="206">
        <v>2</v>
      </c>
      <c r="H100" s="205">
        <v>0.218</v>
      </c>
      <c r="I100" s="205">
        <v>19.2</v>
      </c>
      <c r="J100" s="207">
        <f t="shared" si="10"/>
        <v>1.1354166666666667</v>
      </c>
      <c r="K100" s="205">
        <f t="shared" si="11"/>
        <v>4.1856000000000004E-2</v>
      </c>
      <c r="L100" s="205">
        <f t="shared" si="12"/>
        <v>7.3661757434268517E-12</v>
      </c>
      <c r="M100" s="205">
        <f t="shared" si="13"/>
        <v>5682188622.413723</v>
      </c>
      <c r="N100" s="252">
        <f t="shared" si="14"/>
        <v>5.6821886224137232</v>
      </c>
      <c r="O100" s="207">
        <f t="shared" si="15"/>
        <v>1.1354166666666667</v>
      </c>
      <c r="P100" s="253">
        <f t="shared" si="16"/>
        <v>4.1856000000000004E-2</v>
      </c>
      <c r="Q100" s="254">
        <f t="shared" si="17"/>
        <v>5.6821886224137232</v>
      </c>
      <c r="AF100" s="24"/>
      <c r="AG100" s="202"/>
      <c r="AH100" s="191"/>
      <c r="AI100" s="37"/>
      <c r="AJ100" s="203"/>
      <c r="AK100" s="31"/>
      <c r="AL100" s="24"/>
      <c r="AM100" s="202"/>
      <c r="AN100" s="191"/>
      <c r="AO100" s="37"/>
      <c r="AP100" s="37"/>
      <c r="AQ100" s="37"/>
      <c r="AR100" s="24"/>
      <c r="AS100" s="202"/>
      <c r="AT100" s="191"/>
      <c r="AU100" s="24"/>
      <c r="AV100" s="202"/>
      <c r="AW100" s="191"/>
      <c r="AX100" s="24"/>
      <c r="AY100" s="202"/>
      <c r="AZ100" s="191"/>
      <c r="BA100" s="23"/>
      <c r="BB100" s="23"/>
      <c r="BC100" s="23"/>
      <c r="BD100" s="23"/>
      <c r="BE100" s="23"/>
      <c r="BF100" s="23"/>
      <c r="BG100" s="23"/>
      <c r="BH100" s="23"/>
      <c r="BI100" s="23"/>
      <c r="BJ100" s="24"/>
      <c r="BK100" s="202"/>
      <c r="BL100" s="191"/>
      <c r="BM100" s="37"/>
      <c r="BN100" s="203"/>
      <c r="BO100" s="31"/>
      <c r="BP100" s="24"/>
      <c r="BQ100" s="202"/>
      <c r="BR100" s="191"/>
      <c r="BS100" s="37"/>
      <c r="BT100" s="37"/>
      <c r="BU100" s="37"/>
      <c r="BV100" s="24"/>
      <c r="BW100" s="202"/>
      <c r="BX100" s="191"/>
      <c r="BY100" s="24"/>
      <c r="BZ100" s="202"/>
      <c r="CA100" s="191"/>
      <c r="CB100" s="24"/>
      <c r="CC100" s="202"/>
      <c r="CD100" s="191"/>
    </row>
    <row r="101" spans="1:82">
      <c r="A101" s="204">
        <v>24</v>
      </c>
      <c r="B101" s="205">
        <v>35.5</v>
      </c>
      <c r="C101" s="205">
        <v>48</v>
      </c>
      <c r="D101" s="205">
        <v>4</v>
      </c>
      <c r="E101" s="205">
        <v>3</v>
      </c>
      <c r="F101" s="205">
        <f t="shared" si="9"/>
        <v>3.5</v>
      </c>
      <c r="G101" s="206">
        <v>3</v>
      </c>
      <c r="H101" s="205">
        <v>0.193</v>
      </c>
      <c r="I101" s="205">
        <v>19.600000000000001</v>
      </c>
      <c r="J101" s="207">
        <f t="shared" si="10"/>
        <v>0.98469387755102045</v>
      </c>
      <c r="K101" s="205">
        <f t="shared" si="11"/>
        <v>3.6299755102040816E-2</v>
      </c>
      <c r="L101" s="205">
        <f t="shared" si="12"/>
        <v>7.3661757434268517E-12</v>
      </c>
      <c r="M101" s="205">
        <f t="shared" si="13"/>
        <v>4927896966.6767206</v>
      </c>
      <c r="N101" s="252">
        <f t="shared" si="14"/>
        <v>4.9278969666767205</v>
      </c>
      <c r="O101" s="207">
        <f t="shared" si="15"/>
        <v>0.98469387755102045</v>
      </c>
      <c r="P101" s="253">
        <f t="shared" si="16"/>
        <v>3.6299755102040816E-2</v>
      </c>
      <c r="Q101" s="254">
        <f t="shared" si="17"/>
        <v>4.9278969666767205</v>
      </c>
      <c r="AF101" s="24"/>
      <c r="AG101" s="202"/>
      <c r="AH101" s="191"/>
      <c r="AI101" s="37"/>
      <c r="AJ101" s="203"/>
      <c r="AK101" s="31"/>
      <c r="AL101" s="24"/>
      <c r="AM101" s="202"/>
      <c r="AN101" s="191"/>
      <c r="AO101" s="37"/>
      <c r="AP101" s="37"/>
      <c r="AQ101" s="37"/>
      <c r="AR101" s="24"/>
      <c r="AS101" s="202"/>
      <c r="AT101" s="191"/>
      <c r="AU101" s="24"/>
      <c r="AV101" s="202"/>
      <c r="AW101" s="191"/>
      <c r="AX101" s="24"/>
      <c r="AY101" s="202"/>
      <c r="AZ101" s="191"/>
      <c r="BA101" s="23"/>
      <c r="BB101" s="23"/>
      <c r="BC101" s="23"/>
      <c r="BD101" s="23"/>
      <c r="BE101" s="23"/>
      <c r="BF101" s="23"/>
      <c r="BG101" s="23"/>
      <c r="BH101" s="23"/>
      <c r="BI101" s="23"/>
      <c r="BJ101" s="24"/>
      <c r="BK101" s="202"/>
      <c r="BL101" s="191"/>
      <c r="BM101" s="37"/>
      <c r="BN101" s="203"/>
      <c r="BO101" s="31"/>
      <c r="BP101" s="24"/>
      <c r="BQ101" s="202"/>
      <c r="BR101" s="191"/>
      <c r="BS101" s="37"/>
      <c r="BT101" s="37"/>
      <c r="BU101" s="37"/>
      <c r="BV101" s="24"/>
      <c r="BW101" s="202"/>
      <c r="BX101" s="191"/>
      <c r="BY101" s="24"/>
      <c r="BZ101" s="202"/>
      <c r="CA101" s="191"/>
      <c r="CB101" s="24"/>
      <c r="CC101" s="202"/>
      <c r="CD101" s="191"/>
    </row>
    <row r="102" spans="1:82">
      <c r="A102" s="204">
        <v>24</v>
      </c>
      <c r="B102" s="205">
        <v>35.5</v>
      </c>
      <c r="C102" s="205">
        <v>48</v>
      </c>
      <c r="D102" s="205">
        <v>4</v>
      </c>
      <c r="E102" s="205">
        <v>3</v>
      </c>
      <c r="F102" s="205">
        <f t="shared" si="9"/>
        <v>3.5</v>
      </c>
      <c r="G102" s="206">
        <v>4</v>
      </c>
      <c r="H102" s="205">
        <v>0.189</v>
      </c>
      <c r="I102" s="205">
        <v>19.3</v>
      </c>
      <c r="J102" s="207">
        <f t="shared" si="10"/>
        <v>0.97927461139896377</v>
      </c>
      <c r="K102" s="205">
        <f t="shared" si="11"/>
        <v>3.60999792746114E-2</v>
      </c>
      <c r="L102" s="205">
        <f t="shared" si="12"/>
        <v>7.3661757434268517E-12</v>
      </c>
      <c r="M102" s="205">
        <f t="shared" si="13"/>
        <v>4900776268.7205677</v>
      </c>
      <c r="N102" s="252">
        <f t="shared" si="14"/>
        <v>4.900776268720568</v>
      </c>
      <c r="O102" s="207">
        <f t="shared" si="15"/>
        <v>0.97927461139896377</v>
      </c>
      <c r="P102" s="253">
        <f t="shared" si="16"/>
        <v>3.60999792746114E-2</v>
      </c>
      <c r="Q102" s="254">
        <f t="shared" si="17"/>
        <v>4.900776268720568</v>
      </c>
      <c r="AF102" s="24"/>
      <c r="AG102" s="202"/>
      <c r="AH102" s="191"/>
      <c r="AI102" s="37"/>
      <c r="AJ102" s="203"/>
      <c r="AK102" s="31"/>
      <c r="AL102" s="24"/>
      <c r="AM102" s="202"/>
      <c r="AN102" s="191"/>
      <c r="AO102" s="37"/>
      <c r="AP102" s="37"/>
      <c r="AQ102" s="37"/>
      <c r="AR102" s="24"/>
      <c r="AS102" s="202"/>
      <c r="AT102" s="191"/>
      <c r="AU102" s="24"/>
      <c r="AV102" s="202"/>
      <c r="AW102" s="191"/>
      <c r="AX102" s="24"/>
      <c r="AY102" s="202"/>
      <c r="AZ102" s="191"/>
      <c r="BA102" s="23"/>
      <c r="BB102" s="23"/>
      <c r="BC102" s="23"/>
      <c r="BD102" s="23"/>
      <c r="BE102" s="23"/>
      <c r="BF102" s="23"/>
      <c r="BG102" s="23"/>
      <c r="BH102" s="23"/>
      <c r="BI102" s="23"/>
      <c r="BJ102" s="24"/>
      <c r="BK102" s="202"/>
      <c r="BL102" s="191"/>
      <c r="BM102" s="37"/>
      <c r="BN102" s="203"/>
      <c r="BO102" s="31"/>
      <c r="BP102" s="24"/>
      <c r="BQ102" s="202"/>
      <c r="BR102" s="191"/>
      <c r="BS102" s="37"/>
      <c r="BT102" s="37"/>
      <c r="BU102" s="37"/>
      <c r="BV102" s="24"/>
      <c r="BW102" s="202"/>
      <c r="BX102" s="191"/>
      <c r="BY102" s="24"/>
      <c r="BZ102" s="202"/>
      <c r="CA102" s="191"/>
      <c r="CB102" s="24"/>
      <c r="CC102" s="202"/>
      <c r="CD102" s="191"/>
    </row>
    <row r="103" spans="1:82">
      <c r="A103" s="81">
        <v>25</v>
      </c>
      <c r="B103" s="82">
        <v>33</v>
      </c>
      <c r="C103" s="82">
        <v>44</v>
      </c>
      <c r="D103" s="82">
        <v>3.5</v>
      </c>
      <c r="E103" s="82">
        <v>2.5</v>
      </c>
      <c r="F103" s="82">
        <f t="shared" si="9"/>
        <v>3</v>
      </c>
      <c r="G103" s="200">
        <v>1</v>
      </c>
      <c r="H103" s="82">
        <v>0.11700000000000001</v>
      </c>
      <c r="I103" s="82">
        <v>18.600000000000001</v>
      </c>
      <c r="J103" s="179">
        <f t="shared" si="10"/>
        <v>0.62903225806451613</v>
      </c>
      <c r="K103" s="82">
        <f t="shared" si="11"/>
        <v>1.7861161290322579E-2</v>
      </c>
      <c r="L103" s="3">
        <f t="shared" si="12"/>
        <v>3.9760782021995822E-12</v>
      </c>
      <c r="M103" s="3">
        <f t="shared" si="13"/>
        <v>4492155431.0580997</v>
      </c>
      <c r="N103" s="29">
        <f t="shared" si="14"/>
        <v>4.4921554310580998</v>
      </c>
      <c r="O103" s="30">
        <f t="shared" si="15"/>
        <v>0.62903225806451613</v>
      </c>
      <c r="P103" s="175">
        <f t="shared" si="16"/>
        <v>1.7861161290322579E-2</v>
      </c>
      <c r="Q103" s="26">
        <f t="shared" si="17"/>
        <v>4.4921554310580998</v>
      </c>
      <c r="AF103" s="24"/>
      <c r="AG103" s="202"/>
      <c r="AH103" s="191"/>
      <c r="AI103" s="37"/>
      <c r="AJ103" s="203"/>
      <c r="AK103" s="31"/>
      <c r="AL103" s="24"/>
      <c r="AM103" s="202"/>
      <c r="AN103" s="191"/>
      <c r="AO103" s="37"/>
      <c r="AP103" s="37"/>
      <c r="AQ103" s="37"/>
      <c r="AR103" s="24"/>
      <c r="AS103" s="202"/>
      <c r="AT103" s="191"/>
      <c r="AU103" s="24"/>
      <c r="AV103" s="202"/>
      <c r="AW103" s="191"/>
      <c r="AX103" s="24"/>
      <c r="AY103" s="202"/>
      <c r="AZ103" s="191"/>
      <c r="BA103" s="23"/>
      <c r="BB103" s="23"/>
      <c r="BC103" s="23"/>
      <c r="BD103" s="23"/>
      <c r="BE103" s="23"/>
      <c r="BF103" s="23"/>
      <c r="BG103" s="23"/>
      <c r="BH103" s="23"/>
      <c r="BI103" s="23"/>
      <c r="BJ103" s="24"/>
      <c r="BK103" s="202"/>
      <c r="BL103" s="191"/>
      <c r="BM103" s="37"/>
      <c r="BN103" s="203"/>
      <c r="BO103" s="31"/>
      <c r="BP103" s="24"/>
      <c r="BQ103" s="202"/>
      <c r="BR103" s="191"/>
      <c r="BS103" s="37"/>
      <c r="BT103" s="37"/>
      <c r="BU103" s="37"/>
      <c r="BV103" s="24"/>
      <c r="BW103" s="202"/>
      <c r="BX103" s="191"/>
      <c r="BY103" s="24"/>
      <c r="BZ103" s="202"/>
      <c r="CA103" s="191"/>
      <c r="CB103" s="24"/>
      <c r="CC103" s="202"/>
      <c r="CD103" s="191"/>
    </row>
    <row r="104" spans="1:82">
      <c r="A104" s="81">
        <v>25</v>
      </c>
      <c r="B104" s="82">
        <v>33</v>
      </c>
      <c r="C104" s="82">
        <v>44</v>
      </c>
      <c r="D104" s="82">
        <v>3.5</v>
      </c>
      <c r="E104" s="82">
        <v>2.5</v>
      </c>
      <c r="F104" s="82">
        <f t="shared" si="9"/>
        <v>3</v>
      </c>
      <c r="G104" s="200">
        <v>2</v>
      </c>
      <c r="H104" s="82">
        <v>0.11</v>
      </c>
      <c r="I104" s="82">
        <v>17.399999999999999</v>
      </c>
      <c r="J104" s="179">
        <f t="shared" si="10"/>
        <v>0.63218390804597702</v>
      </c>
      <c r="K104" s="82">
        <f t="shared" si="11"/>
        <v>1.7950651340996167E-2</v>
      </c>
      <c r="L104" s="3">
        <f t="shared" si="12"/>
        <v>3.9760782021995822E-12</v>
      </c>
      <c r="M104" s="3">
        <f t="shared" si="13"/>
        <v>4514662546.3920193</v>
      </c>
      <c r="N104" s="29">
        <f t="shared" si="14"/>
        <v>4.5146625463920191</v>
      </c>
      <c r="O104" s="30">
        <f t="shared" si="15"/>
        <v>0.63218390804597702</v>
      </c>
      <c r="P104" s="175">
        <f t="shared" si="16"/>
        <v>1.7950651340996167E-2</v>
      </c>
      <c r="Q104" s="26">
        <f t="shared" si="17"/>
        <v>4.5146625463920191</v>
      </c>
      <c r="AF104" s="24"/>
      <c r="AG104" s="202"/>
      <c r="AH104" s="191"/>
      <c r="AI104" s="37"/>
      <c r="AJ104" s="203"/>
      <c r="AK104" s="31"/>
      <c r="AL104" s="24"/>
      <c r="AM104" s="202"/>
      <c r="AN104" s="191"/>
      <c r="AO104" s="37"/>
      <c r="AP104" s="37"/>
      <c r="AQ104" s="37"/>
      <c r="AR104" s="24"/>
      <c r="AS104" s="202"/>
      <c r="AT104" s="191"/>
      <c r="AU104" s="24"/>
      <c r="AV104" s="202"/>
      <c r="AW104" s="191"/>
      <c r="AX104" s="24"/>
      <c r="AY104" s="202"/>
      <c r="AZ104" s="191"/>
      <c r="BA104" s="23"/>
      <c r="BB104" s="23"/>
      <c r="BC104" s="23"/>
      <c r="BD104" s="23"/>
      <c r="BE104" s="23"/>
      <c r="BF104" s="23"/>
      <c r="BG104" s="23"/>
      <c r="BH104" s="23"/>
      <c r="BI104" s="23"/>
      <c r="BJ104" s="24"/>
      <c r="BK104" s="202"/>
      <c r="BL104" s="191"/>
      <c r="BM104" s="37"/>
      <c r="BN104" s="203"/>
      <c r="BO104" s="31"/>
      <c r="BP104" s="24"/>
      <c r="BQ104" s="202"/>
      <c r="BR104" s="191"/>
      <c r="BS104" s="37"/>
      <c r="BT104" s="37"/>
      <c r="BU104" s="37"/>
      <c r="BV104" s="24"/>
      <c r="BW104" s="202"/>
      <c r="BX104" s="191"/>
      <c r="BY104" s="24"/>
      <c r="BZ104" s="202"/>
      <c r="CA104" s="191"/>
      <c r="CB104" s="24"/>
      <c r="CC104" s="202"/>
      <c r="CD104" s="191"/>
    </row>
    <row r="105" spans="1:82">
      <c r="A105" s="81">
        <v>25</v>
      </c>
      <c r="B105" s="82">
        <v>33</v>
      </c>
      <c r="C105" s="82">
        <v>44</v>
      </c>
      <c r="D105" s="82">
        <v>3.5</v>
      </c>
      <c r="E105" s="82">
        <v>2.5</v>
      </c>
      <c r="F105" s="82">
        <f t="shared" si="9"/>
        <v>3</v>
      </c>
      <c r="G105" s="200">
        <v>3</v>
      </c>
      <c r="H105" s="82">
        <v>9.1999999999999998E-2</v>
      </c>
      <c r="I105" s="82">
        <v>17.8</v>
      </c>
      <c r="J105" s="179">
        <f t="shared" si="10"/>
        <v>0.51685393258426959</v>
      </c>
      <c r="K105" s="82">
        <f t="shared" si="11"/>
        <v>1.4675895131086138E-2</v>
      </c>
      <c r="L105" s="3">
        <f t="shared" si="12"/>
        <v>3.9760782021995822E-12</v>
      </c>
      <c r="M105" s="3">
        <f t="shared" si="13"/>
        <v>3691047908.2044649</v>
      </c>
      <c r="N105" s="29">
        <f t="shared" si="14"/>
        <v>3.6910479082044647</v>
      </c>
      <c r="O105" s="30">
        <f t="shared" si="15"/>
        <v>0.51685393258426959</v>
      </c>
      <c r="P105" s="175">
        <f t="shared" si="16"/>
        <v>1.4675895131086138E-2</v>
      </c>
      <c r="Q105" s="26">
        <f t="shared" si="17"/>
        <v>3.6910479082044647</v>
      </c>
      <c r="AF105" s="24"/>
      <c r="AG105" s="202"/>
      <c r="AH105" s="191"/>
      <c r="AI105" s="37"/>
      <c r="AJ105" s="203"/>
      <c r="AK105" s="31"/>
      <c r="AL105" s="24"/>
      <c r="AM105" s="202"/>
      <c r="AN105" s="191"/>
      <c r="AO105" s="37"/>
      <c r="AP105" s="37"/>
      <c r="AQ105" s="37"/>
      <c r="AR105" s="24"/>
      <c r="AS105" s="202"/>
      <c r="AT105" s="191"/>
      <c r="AU105" s="24"/>
      <c r="AV105" s="202"/>
      <c r="AW105" s="191"/>
      <c r="AX105" s="24"/>
      <c r="AY105" s="202"/>
      <c r="AZ105" s="191"/>
      <c r="BA105" s="23"/>
      <c r="BB105" s="23"/>
      <c r="BC105" s="23"/>
      <c r="BD105" s="23"/>
      <c r="BE105" s="23"/>
      <c r="BF105" s="23"/>
      <c r="BG105" s="23"/>
      <c r="BH105" s="23"/>
      <c r="BI105" s="23"/>
      <c r="BJ105" s="24"/>
      <c r="BK105" s="202"/>
      <c r="BL105" s="191"/>
      <c r="BM105" s="37"/>
      <c r="BN105" s="203"/>
      <c r="BO105" s="31"/>
      <c r="BP105" s="24"/>
      <c r="BQ105" s="202"/>
      <c r="BR105" s="191"/>
      <c r="BS105" s="37"/>
      <c r="BT105" s="37"/>
      <c r="BU105" s="37"/>
      <c r="BV105" s="24"/>
      <c r="BW105" s="202"/>
      <c r="BX105" s="191"/>
      <c r="BY105" s="24"/>
      <c r="BZ105" s="202"/>
      <c r="CA105" s="191"/>
      <c r="CB105" s="24"/>
      <c r="CC105" s="202"/>
      <c r="CD105" s="191"/>
    </row>
    <row r="106" spans="1:82">
      <c r="A106" s="81">
        <v>25</v>
      </c>
      <c r="B106" s="82">
        <v>33</v>
      </c>
      <c r="C106" s="82">
        <v>44</v>
      </c>
      <c r="D106" s="82">
        <v>3.5</v>
      </c>
      <c r="E106" s="82">
        <v>2.5</v>
      </c>
      <c r="F106" s="82">
        <f t="shared" si="9"/>
        <v>3</v>
      </c>
      <c r="G106" s="200">
        <v>4</v>
      </c>
      <c r="H106" s="82">
        <v>0.17599999999999999</v>
      </c>
      <c r="I106" s="82">
        <v>18.399999999999999</v>
      </c>
      <c r="J106" s="179">
        <f t="shared" si="10"/>
        <v>0.9565217391304347</v>
      </c>
      <c r="K106" s="82">
        <f t="shared" si="11"/>
        <v>2.7160115942028981E-2</v>
      </c>
      <c r="L106" s="3">
        <f t="shared" si="12"/>
        <v>3.9760782021995822E-12</v>
      </c>
      <c r="M106" s="3">
        <f t="shared" si="13"/>
        <v>6830880722.367054</v>
      </c>
      <c r="N106" s="29">
        <f t="shared" si="14"/>
        <v>6.8308807223670538</v>
      </c>
      <c r="O106" s="30">
        <f t="shared" si="15"/>
        <v>0.9565217391304347</v>
      </c>
      <c r="P106" s="175">
        <f t="shared" si="16"/>
        <v>2.7160115942028981E-2</v>
      </c>
      <c r="Q106" s="26">
        <f t="shared" si="17"/>
        <v>6.8308807223670538</v>
      </c>
      <c r="AF106" s="24"/>
      <c r="AG106" s="202"/>
      <c r="AH106" s="191"/>
      <c r="AI106" s="37"/>
      <c r="AJ106" s="203"/>
      <c r="AK106" s="31"/>
      <c r="AL106" s="24"/>
      <c r="AM106" s="202"/>
      <c r="AN106" s="191"/>
      <c r="AO106" s="37"/>
      <c r="AP106" s="37"/>
      <c r="AQ106" s="37"/>
      <c r="AR106" s="24"/>
      <c r="AS106" s="202"/>
      <c r="AT106" s="191"/>
      <c r="AU106" s="24"/>
      <c r="AV106" s="202"/>
      <c r="AW106" s="191"/>
      <c r="AX106" s="24"/>
      <c r="AY106" s="202"/>
      <c r="AZ106" s="191"/>
      <c r="BA106" s="23"/>
      <c r="BB106" s="23"/>
      <c r="BC106" s="23"/>
      <c r="BD106" s="23"/>
      <c r="BE106" s="23"/>
      <c r="BF106" s="23"/>
      <c r="BG106" s="23"/>
      <c r="BH106" s="23"/>
      <c r="BI106" s="23"/>
      <c r="BJ106" s="24"/>
      <c r="BK106" s="202"/>
      <c r="BL106" s="191"/>
      <c r="BM106" s="37"/>
      <c r="BN106" s="203"/>
      <c r="BO106" s="31"/>
      <c r="BP106" s="24"/>
      <c r="BQ106" s="202"/>
      <c r="BR106" s="191"/>
      <c r="BS106" s="37"/>
      <c r="BT106" s="37"/>
      <c r="BU106" s="37"/>
      <c r="BV106" s="24"/>
      <c r="BW106" s="202"/>
      <c r="BX106" s="191"/>
      <c r="BY106" s="24"/>
      <c r="BZ106" s="202"/>
      <c r="CA106" s="191"/>
      <c r="CB106" s="24"/>
      <c r="CC106" s="202"/>
      <c r="CD106" s="191"/>
    </row>
    <row r="107" spans="1:82">
      <c r="A107" s="204">
        <v>26</v>
      </c>
      <c r="B107" s="205">
        <v>36</v>
      </c>
      <c r="C107" s="205">
        <v>65</v>
      </c>
      <c r="D107" s="205">
        <v>4</v>
      </c>
      <c r="E107" s="205">
        <v>3</v>
      </c>
      <c r="F107" s="205">
        <f t="shared" si="9"/>
        <v>3.5</v>
      </c>
      <c r="G107" s="206">
        <v>1</v>
      </c>
      <c r="H107" s="205">
        <v>0.128</v>
      </c>
      <c r="I107" s="205">
        <v>23.2</v>
      </c>
      <c r="J107" s="207">
        <f t="shared" si="10"/>
        <v>0.55172413793103459</v>
      </c>
      <c r="K107" s="205">
        <f t="shared" si="11"/>
        <v>5.0505747126436802E-2</v>
      </c>
      <c r="L107" s="205">
        <f t="shared" si="12"/>
        <v>7.3661757434268517E-12</v>
      </c>
      <c r="M107" s="205">
        <f t="shared" si="13"/>
        <v>6856440694.0066833</v>
      </c>
      <c r="N107" s="252">
        <f t="shared" si="14"/>
        <v>6.8564406940066833</v>
      </c>
      <c r="O107" s="207">
        <f t="shared" si="15"/>
        <v>0.55172413793103459</v>
      </c>
      <c r="P107" s="253">
        <f t="shared" si="16"/>
        <v>5.0505747126436802E-2</v>
      </c>
      <c r="Q107" s="254">
        <f t="shared" si="17"/>
        <v>6.8564406940066833</v>
      </c>
      <c r="AF107" s="24"/>
      <c r="AG107" s="202"/>
      <c r="AH107" s="191"/>
      <c r="AI107" s="37"/>
      <c r="AJ107" s="203"/>
      <c r="AK107" s="31"/>
      <c r="AL107" s="24"/>
      <c r="AM107" s="202"/>
      <c r="AN107" s="191"/>
      <c r="AO107" s="37"/>
      <c r="AP107" s="37"/>
      <c r="AQ107" s="37"/>
      <c r="AR107" s="24"/>
      <c r="AS107" s="202"/>
      <c r="AT107" s="191"/>
      <c r="AU107" s="24"/>
      <c r="AV107" s="202"/>
      <c r="AW107" s="191"/>
      <c r="AX107" s="24"/>
      <c r="AY107" s="202"/>
      <c r="AZ107" s="191"/>
      <c r="BA107" s="23"/>
      <c r="BB107" s="23"/>
      <c r="BC107" s="23"/>
      <c r="BD107" s="23"/>
      <c r="BE107" s="23"/>
      <c r="BF107" s="23"/>
      <c r="BG107" s="23"/>
      <c r="BH107" s="23"/>
      <c r="BI107" s="23"/>
      <c r="BJ107" s="24"/>
      <c r="BK107" s="202"/>
      <c r="BL107" s="191"/>
      <c r="BM107" s="37"/>
      <c r="BN107" s="203"/>
      <c r="BO107" s="31"/>
      <c r="BP107" s="24"/>
      <c r="BQ107" s="202"/>
      <c r="BR107" s="191"/>
      <c r="BS107" s="37"/>
      <c r="BT107" s="37"/>
      <c r="BU107" s="37"/>
      <c r="BV107" s="24"/>
      <c r="BW107" s="202"/>
      <c r="BX107" s="191"/>
      <c r="BY107" s="24"/>
      <c r="BZ107" s="202"/>
      <c r="CA107" s="191"/>
      <c r="CB107" s="24"/>
      <c r="CC107" s="202"/>
      <c r="CD107" s="191"/>
    </row>
    <row r="108" spans="1:82">
      <c r="A108" s="204">
        <v>26</v>
      </c>
      <c r="B108" s="205">
        <v>36</v>
      </c>
      <c r="C108" s="205">
        <v>65</v>
      </c>
      <c r="D108" s="205">
        <v>4</v>
      </c>
      <c r="E108" s="205">
        <v>3</v>
      </c>
      <c r="F108" s="205">
        <f t="shared" si="9"/>
        <v>3.5</v>
      </c>
      <c r="G108" s="206">
        <v>2</v>
      </c>
      <c r="H108" s="205">
        <v>0.14499999999999999</v>
      </c>
      <c r="I108" s="205">
        <v>22.3</v>
      </c>
      <c r="J108" s="207">
        <f t="shared" si="10"/>
        <v>0.65022421524663676</v>
      </c>
      <c r="K108" s="205">
        <f t="shared" si="11"/>
        <v>5.9522608370702557E-2</v>
      </c>
      <c r="L108" s="205">
        <f t="shared" si="12"/>
        <v>7.3661757434268517E-12</v>
      </c>
      <c r="M108" s="205">
        <f t="shared" si="13"/>
        <v>8080530582.4826517</v>
      </c>
      <c r="N108" s="252">
        <f t="shared" si="14"/>
        <v>8.0805305824826519</v>
      </c>
      <c r="O108" s="207">
        <f t="shared" si="15"/>
        <v>0.65022421524663676</v>
      </c>
      <c r="P108" s="253">
        <f t="shared" si="16"/>
        <v>5.9522608370702557E-2</v>
      </c>
      <c r="Q108" s="254">
        <f t="shared" si="17"/>
        <v>8.0805305824826519</v>
      </c>
      <c r="AF108" s="24"/>
      <c r="AG108" s="202"/>
      <c r="AH108" s="191"/>
      <c r="AI108" s="37"/>
      <c r="AJ108" s="203"/>
      <c r="AK108" s="31"/>
      <c r="AL108" s="24"/>
      <c r="AM108" s="202"/>
      <c r="AN108" s="191"/>
      <c r="AO108" s="37"/>
      <c r="AP108" s="37"/>
      <c r="AQ108" s="37"/>
      <c r="AR108" s="24"/>
      <c r="AS108" s="202"/>
      <c r="AT108" s="191"/>
      <c r="AU108" s="24"/>
      <c r="AV108" s="202"/>
      <c r="AW108" s="191"/>
      <c r="AX108" s="24"/>
      <c r="AY108" s="202"/>
      <c r="AZ108" s="191"/>
      <c r="BA108" s="23"/>
      <c r="BB108" s="23"/>
      <c r="BC108" s="23"/>
      <c r="BD108" s="23"/>
      <c r="BE108" s="23"/>
      <c r="BF108" s="23"/>
      <c r="BG108" s="23"/>
      <c r="BH108" s="23"/>
      <c r="BI108" s="23"/>
      <c r="BJ108" s="24"/>
      <c r="BK108" s="202"/>
      <c r="BL108" s="191"/>
      <c r="BM108" s="37"/>
      <c r="BN108" s="203"/>
      <c r="BO108" s="31"/>
      <c r="BP108" s="24"/>
      <c r="BQ108" s="202"/>
      <c r="BR108" s="191"/>
      <c r="BS108" s="37"/>
      <c r="BT108" s="37"/>
      <c r="BU108" s="37"/>
      <c r="BV108" s="24"/>
      <c r="BW108" s="202"/>
      <c r="BX108" s="191"/>
      <c r="BY108" s="24"/>
      <c r="BZ108" s="202"/>
      <c r="CA108" s="191"/>
      <c r="CB108" s="24"/>
      <c r="CC108" s="202"/>
      <c r="CD108" s="191"/>
    </row>
    <row r="109" spans="1:82">
      <c r="A109" s="204">
        <v>26</v>
      </c>
      <c r="B109" s="205">
        <v>36</v>
      </c>
      <c r="C109" s="205">
        <v>65</v>
      </c>
      <c r="D109" s="205">
        <v>4</v>
      </c>
      <c r="E109" s="205">
        <v>3</v>
      </c>
      <c r="F109" s="205">
        <f t="shared" si="9"/>
        <v>3.5</v>
      </c>
      <c r="G109" s="206">
        <v>3</v>
      </c>
      <c r="H109" s="205">
        <v>0.187</v>
      </c>
      <c r="I109" s="205">
        <v>23.9</v>
      </c>
      <c r="J109" s="207">
        <f t="shared" si="10"/>
        <v>0.78242677824267781</v>
      </c>
      <c r="K109" s="205">
        <f t="shared" si="11"/>
        <v>7.162465132496515E-2</v>
      </c>
      <c r="L109" s="205">
        <f t="shared" si="12"/>
        <v>7.3661757434268517E-12</v>
      </c>
      <c r="M109" s="205">
        <f t="shared" si="13"/>
        <v>9723451329.3928452</v>
      </c>
      <c r="N109" s="252">
        <f t="shared" si="14"/>
        <v>9.7234513293928444</v>
      </c>
      <c r="O109" s="207">
        <f t="shared" si="15"/>
        <v>0.78242677824267781</v>
      </c>
      <c r="P109" s="253">
        <f t="shared" si="16"/>
        <v>7.162465132496515E-2</v>
      </c>
      <c r="Q109" s="254">
        <f t="shared" si="17"/>
        <v>9.7234513293928444</v>
      </c>
      <c r="AF109" s="24"/>
      <c r="AG109" s="202"/>
      <c r="AH109" s="191"/>
      <c r="AI109" s="37"/>
      <c r="AJ109" s="203"/>
      <c r="AK109" s="31"/>
      <c r="AL109" s="24"/>
      <c r="AM109" s="202"/>
      <c r="AN109" s="191"/>
      <c r="AO109" s="37"/>
      <c r="AP109" s="37"/>
      <c r="AQ109" s="37"/>
      <c r="AR109" s="24"/>
      <c r="AS109" s="202"/>
      <c r="AT109" s="191"/>
      <c r="AU109" s="24"/>
      <c r="AV109" s="202"/>
      <c r="AW109" s="191"/>
      <c r="AX109" s="24"/>
      <c r="AY109" s="202"/>
      <c r="AZ109" s="191"/>
      <c r="BA109" s="23"/>
      <c r="BB109" s="23"/>
      <c r="BC109" s="23"/>
      <c r="BD109" s="23"/>
      <c r="BE109" s="23"/>
      <c r="BF109" s="23"/>
      <c r="BG109" s="23"/>
      <c r="BH109" s="23"/>
      <c r="BI109" s="23"/>
      <c r="BJ109" s="24"/>
      <c r="BK109" s="202"/>
      <c r="BL109" s="191"/>
      <c r="BM109" s="37"/>
      <c r="BN109" s="203"/>
      <c r="BO109" s="31"/>
      <c r="BP109" s="24"/>
      <c r="BQ109" s="202"/>
      <c r="BR109" s="191"/>
      <c r="BS109" s="37"/>
      <c r="BT109" s="37"/>
      <c r="BU109" s="37"/>
      <c r="BV109" s="24"/>
      <c r="BW109" s="202"/>
      <c r="BX109" s="191"/>
      <c r="BY109" s="24"/>
      <c r="BZ109" s="202"/>
      <c r="CA109" s="191"/>
      <c r="CB109" s="24"/>
      <c r="CC109" s="202"/>
      <c r="CD109" s="191"/>
    </row>
    <row r="110" spans="1:82">
      <c r="A110" s="204">
        <v>26</v>
      </c>
      <c r="B110" s="205">
        <v>36</v>
      </c>
      <c r="C110" s="205">
        <v>65</v>
      </c>
      <c r="D110" s="205">
        <v>4</v>
      </c>
      <c r="E110" s="205">
        <v>3</v>
      </c>
      <c r="F110" s="205">
        <f t="shared" si="9"/>
        <v>3.5</v>
      </c>
      <c r="G110" s="206">
        <v>4</v>
      </c>
      <c r="H110" s="205">
        <v>0.109</v>
      </c>
      <c r="I110" s="205">
        <v>22.6</v>
      </c>
      <c r="J110" s="207">
        <f t="shared" si="10"/>
        <v>0.48230088495575218</v>
      </c>
      <c r="K110" s="205">
        <f t="shared" si="11"/>
        <v>4.4150626843657829E-2</v>
      </c>
      <c r="L110" s="205">
        <f t="shared" si="12"/>
        <v>7.3661757434268517E-12</v>
      </c>
      <c r="M110" s="205">
        <f t="shared" si="13"/>
        <v>5993697188.538475</v>
      </c>
      <c r="N110" s="252">
        <f t="shared" si="14"/>
        <v>5.9936971885384747</v>
      </c>
      <c r="O110" s="207">
        <f t="shared" si="15"/>
        <v>0.48230088495575218</v>
      </c>
      <c r="P110" s="253">
        <f t="shared" si="16"/>
        <v>4.4150626843657829E-2</v>
      </c>
      <c r="Q110" s="254">
        <f t="shared" si="17"/>
        <v>5.9936971885384747</v>
      </c>
      <c r="AF110" s="24"/>
      <c r="AG110" s="202"/>
      <c r="AH110" s="191"/>
      <c r="AI110" s="37"/>
      <c r="AJ110" s="203"/>
      <c r="AK110" s="31"/>
      <c r="AL110" s="24"/>
      <c r="AM110" s="202"/>
      <c r="AN110" s="191"/>
      <c r="AO110" s="37"/>
      <c r="AP110" s="37"/>
      <c r="AQ110" s="37"/>
      <c r="AR110" s="24"/>
      <c r="AS110" s="202"/>
      <c r="AT110" s="191"/>
      <c r="AU110" s="24"/>
      <c r="AV110" s="202"/>
      <c r="AW110" s="191"/>
      <c r="AX110" s="24"/>
      <c r="AY110" s="202"/>
      <c r="AZ110" s="191"/>
      <c r="BA110" s="23"/>
      <c r="BB110" s="23"/>
      <c r="BC110" s="23"/>
      <c r="BD110" s="23"/>
      <c r="BE110" s="23"/>
      <c r="BF110" s="23"/>
      <c r="BG110" s="23"/>
      <c r="BH110" s="23"/>
      <c r="BI110" s="23"/>
      <c r="BJ110" s="24"/>
      <c r="BK110" s="202"/>
      <c r="BL110" s="191"/>
      <c r="BM110" s="37"/>
      <c r="BN110" s="203"/>
      <c r="BO110" s="31"/>
      <c r="BP110" s="24"/>
      <c r="BQ110" s="202"/>
      <c r="BR110" s="191"/>
      <c r="BS110" s="37"/>
      <c r="BT110" s="37"/>
      <c r="BU110" s="37"/>
      <c r="BV110" s="24"/>
      <c r="BW110" s="202"/>
      <c r="BX110" s="191"/>
      <c r="BY110" s="24"/>
      <c r="BZ110" s="202"/>
      <c r="CA110" s="191"/>
      <c r="CB110" s="24"/>
      <c r="CC110" s="202"/>
      <c r="CD110" s="191"/>
    </row>
    <row r="111" spans="1:82">
      <c r="A111" s="81">
        <v>27</v>
      </c>
      <c r="B111" s="82">
        <v>29.5</v>
      </c>
      <c r="C111" s="82">
        <v>54</v>
      </c>
      <c r="D111" s="82">
        <v>3.5</v>
      </c>
      <c r="E111" s="82">
        <v>3</v>
      </c>
      <c r="F111" s="82">
        <f t="shared" si="9"/>
        <v>3.25</v>
      </c>
      <c r="G111" s="200">
        <v>1</v>
      </c>
      <c r="H111" s="82">
        <v>0.16800000000000001</v>
      </c>
      <c r="I111" s="82">
        <v>20.6</v>
      </c>
      <c r="J111" s="179">
        <f t="shared" si="10"/>
        <v>0.81553398058252424</v>
      </c>
      <c r="K111" s="82">
        <f t="shared" si="11"/>
        <v>4.2805747572815543E-2</v>
      </c>
      <c r="L111" s="3">
        <f t="shared" si="12"/>
        <v>5.4765031603502276E-12</v>
      </c>
      <c r="M111" s="3">
        <f t="shared" si="13"/>
        <v>7816255431.5184717</v>
      </c>
      <c r="N111" s="29">
        <f t="shared" si="14"/>
        <v>7.8162554315184716</v>
      </c>
      <c r="O111" s="30">
        <f t="shared" si="15"/>
        <v>0.81553398058252424</v>
      </c>
      <c r="P111" s="175">
        <f t="shared" si="16"/>
        <v>4.2805747572815543E-2</v>
      </c>
      <c r="Q111" s="26">
        <f t="shared" si="17"/>
        <v>7.8162554315184716</v>
      </c>
      <c r="AF111" s="24"/>
      <c r="AG111" s="202"/>
      <c r="AH111" s="191"/>
      <c r="AI111" s="37"/>
      <c r="AJ111" s="203"/>
      <c r="AK111" s="31"/>
      <c r="AL111" s="24"/>
      <c r="AM111" s="202"/>
      <c r="AN111" s="191"/>
      <c r="AO111" s="37"/>
      <c r="AP111" s="37"/>
      <c r="AQ111" s="37"/>
      <c r="AR111" s="24"/>
      <c r="AS111" s="202"/>
      <c r="AT111" s="191"/>
      <c r="AU111" s="24"/>
      <c r="AV111" s="202"/>
      <c r="AW111" s="191"/>
      <c r="AX111" s="24"/>
      <c r="AY111" s="202"/>
      <c r="AZ111" s="191"/>
      <c r="BA111" s="23"/>
      <c r="BB111" s="23"/>
      <c r="BC111" s="23"/>
      <c r="BD111" s="23"/>
      <c r="BE111" s="23"/>
      <c r="BF111" s="23"/>
      <c r="BG111" s="23"/>
      <c r="BH111" s="23"/>
      <c r="BI111" s="23"/>
      <c r="BJ111" s="24"/>
      <c r="BK111" s="202"/>
      <c r="BL111" s="191"/>
      <c r="BM111" s="37"/>
      <c r="BN111" s="203"/>
      <c r="BO111" s="31"/>
      <c r="BP111" s="24"/>
      <c r="BQ111" s="202"/>
      <c r="BR111" s="191"/>
      <c r="BS111" s="37"/>
      <c r="BT111" s="37"/>
      <c r="BU111" s="37"/>
      <c r="BV111" s="24"/>
      <c r="BW111" s="202"/>
      <c r="BX111" s="191"/>
      <c r="BY111" s="24"/>
      <c r="BZ111" s="202"/>
      <c r="CA111" s="191"/>
      <c r="CB111" s="24"/>
      <c r="CC111" s="202"/>
      <c r="CD111" s="191"/>
    </row>
    <row r="112" spans="1:82">
      <c r="A112" s="81">
        <v>27</v>
      </c>
      <c r="B112" s="82">
        <v>29.5</v>
      </c>
      <c r="C112" s="82">
        <v>54</v>
      </c>
      <c r="D112" s="82">
        <v>3.5</v>
      </c>
      <c r="E112" s="82">
        <v>3</v>
      </c>
      <c r="F112" s="82">
        <f t="shared" si="9"/>
        <v>3.25</v>
      </c>
      <c r="G112" s="200">
        <v>2</v>
      </c>
      <c r="H112" s="82">
        <v>9.8000000000000004E-2</v>
      </c>
      <c r="I112" s="82">
        <v>22.3</v>
      </c>
      <c r="J112" s="179">
        <f t="shared" si="10"/>
        <v>0.43946188340807174</v>
      </c>
      <c r="K112" s="82">
        <f t="shared" si="11"/>
        <v>2.3066475336322872E-2</v>
      </c>
      <c r="L112" s="3">
        <f t="shared" si="12"/>
        <v>5.4765031603502276E-12</v>
      </c>
      <c r="M112" s="3">
        <f t="shared" si="13"/>
        <v>4211898479.9139142</v>
      </c>
      <c r="N112" s="29">
        <f t="shared" si="14"/>
        <v>4.2118984799139145</v>
      </c>
      <c r="O112" s="30">
        <f t="shared" si="15"/>
        <v>0.43946188340807174</v>
      </c>
      <c r="P112" s="175">
        <f t="shared" si="16"/>
        <v>2.3066475336322872E-2</v>
      </c>
      <c r="Q112" s="26">
        <f t="shared" si="17"/>
        <v>4.2118984799139145</v>
      </c>
      <c r="AF112" s="24"/>
      <c r="AG112" s="202"/>
      <c r="AH112" s="191"/>
      <c r="AI112" s="37"/>
      <c r="AJ112" s="203"/>
      <c r="AK112" s="31"/>
      <c r="AL112" s="24"/>
      <c r="AM112" s="202"/>
      <c r="AN112" s="191"/>
      <c r="AO112" s="37"/>
      <c r="AP112" s="37"/>
      <c r="AQ112" s="37"/>
      <c r="AR112" s="24"/>
      <c r="AS112" s="202"/>
      <c r="AT112" s="191"/>
      <c r="AU112" s="24"/>
      <c r="AV112" s="202"/>
      <c r="AW112" s="191"/>
      <c r="AX112" s="24"/>
      <c r="AY112" s="202"/>
      <c r="AZ112" s="191"/>
      <c r="BA112" s="23"/>
      <c r="BB112" s="23"/>
      <c r="BC112" s="23"/>
      <c r="BD112" s="23"/>
      <c r="BE112" s="23"/>
      <c r="BF112" s="23"/>
      <c r="BG112" s="23"/>
      <c r="BH112" s="23"/>
      <c r="BI112" s="23"/>
      <c r="BJ112" s="24"/>
      <c r="BK112" s="202"/>
      <c r="BL112" s="191"/>
      <c r="BM112" s="37"/>
      <c r="BN112" s="203"/>
      <c r="BO112" s="31"/>
      <c r="BP112" s="24"/>
      <c r="BQ112" s="202"/>
      <c r="BR112" s="191"/>
      <c r="BS112" s="37"/>
      <c r="BT112" s="37"/>
      <c r="BU112" s="37"/>
      <c r="BV112" s="24"/>
      <c r="BW112" s="202"/>
      <c r="BX112" s="191"/>
      <c r="BY112" s="24"/>
      <c r="BZ112" s="202"/>
      <c r="CA112" s="191"/>
      <c r="CB112" s="24"/>
      <c r="CC112" s="202"/>
      <c r="CD112" s="191"/>
    </row>
    <row r="113" spans="1:82">
      <c r="A113" s="81">
        <v>27</v>
      </c>
      <c r="B113" s="82">
        <v>29.5</v>
      </c>
      <c r="C113" s="82">
        <v>54</v>
      </c>
      <c r="D113" s="82">
        <v>3.5</v>
      </c>
      <c r="E113" s="82">
        <v>3</v>
      </c>
      <c r="F113" s="82">
        <f t="shared" si="9"/>
        <v>3.25</v>
      </c>
      <c r="G113" s="200">
        <v>3</v>
      </c>
      <c r="H113" s="82">
        <v>7.0999999999999994E-2</v>
      </c>
      <c r="I113" s="82">
        <v>21.6</v>
      </c>
      <c r="J113" s="179">
        <f t="shared" si="10"/>
        <v>0.32870370370370361</v>
      </c>
      <c r="K113" s="82">
        <f t="shared" si="11"/>
        <v>1.7252999999999998E-2</v>
      </c>
      <c r="L113" s="3">
        <f t="shared" si="12"/>
        <v>5.4765031603502276E-12</v>
      </c>
      <c r="M113" s="3">
        <f t="shared" si="13"/>
        <v>3150367943.7111201</v>
      </c>
      <c r="N113" s="29">
        <f t="shared" si="14"/>
        <v>3.1503679437111201</v>
      </c>
      <c r="O113" s="30">
        <f t="shared" si="15"/>
        <v>0.32870370370370361</v>
      </c>
      <c r="P113" s="175">
        <f t="shared" si="16"/>
        <v>1.7252999999999998E-2</v>
      </c>
      <c r="Q113" s="26">
        <f t="shared" si="17"/>
        <v>3.1503679437111201</v>
      </c>
      <c r="AF113" s="24"/>
      <c r="AG113" s="202"/>
      <c r="AH113" s="191"/>
      <c r="AI113" s="37"/>
      <c r="AJ113" s="203"/>
      <c r="AK113" s="31"/>
      <c r="AL113" s="24"/>
      <c r="AM113" s="202"/>
      <c r="AN113" s="191"/>
      <c r="AO113" s="37"/>
      <c r="AP113" s="37"/>
      <c r="AQ113" s="37"/>
      <c r="AR113" s="24"/>
      <c r="AS113" s="202"/>
      <c r="AT113" s="191"/>
      <c r="AU113" s="24"/>
      <c r="AV113" s="202"/>
      <c r="AW113" s="191"/>
      <c r="AX113" s="24"/>
      <c r="AY113" s="202"/>
      <c r="AZ113" s="191"/>
      <c r="BA113" s="23"/>
      <c r="BB113" s="23"/>
      <c r="BC113" s="23"/>
      <c r="BD113" s="23"/>
      <c r="BE113" s="23"/>
      <c r="BF113" s="23"/>
      <c r="BG113" s="23"/>
      <c r="BH113" s="23"/>
      <c r="BI113" s="23"/>
      <c r="BJ113" s="24"/>
      <c r="BK113" s="202"/>
      <c r="BL113" s="191"/>
      <c r="BM113" s="37"/>
      <c r="BN113" s="203"/>
      <c r="BO113" s="31"/>
      <c r="BP113" s="24"/>
      <c r="BQ113" s="202"/>
      <c r="BR113" s="191"/>
      <c r="BS113" s="37"/>
      <c r="BT113" s="37"/>
      <c r="BU113" s="37"/>
      <c r="BV113" s="24"/>
      <c r="BW113" s="202"/>
      <c r="BX113" s="191"/>
      <c r="BY113" s="24"/>
      <c r="BZ113" s="202"/>
      <c r="CA113" s="191"/>
      <c r="CB113" s="24"/>
      <c r="CC113" s="202"/>
      <c r="CD113" s="191"/>
    </row>
    <row r="114" spans="1:82">
      <c r="A114" s="81">
        <v>27</v>
      </c>
      <c r="B114" s="82">
        <v>29.5</v>
      </c>
      <c r="C114" s="82">
        <v>54</v>
      </c>
      <c r="D114" s="82">
        <v>3.5</v>
      </c>
      <c r="E114" s="82">
        <v>3</v>
      </c>
      <c r="F114" s="82">
        <f t="shared" si="9"/>
        <v>3.25</v>
      </c>
      <c r="G114" s="200">
        <v>4</v>
      </c>
      <c r="H114" s="82">
        <v>8.5000000000000006E-2</v>
      </c>
      <c r="I114" s="82">
        <v>22</v>
      </c>
      <c r="J114" s="179">
        <f t="shared" si="10"/>
        <v>0.38636363636363641</v>
      </c>
      <c r="K114" s="82">
        <f t="shared" si="11"/>
        <v>2.0279454545454548E-2</v>
      </c>
      <c r="L114" s="3">
        <f t="shared" si="12"/>
        <v>5.4765031603502276E-12</v>
      </c>
      <c r="M114" s="3">
        <f t="shared" si="13"/>
        <v>3702993306.4363751</v>
      </c>
      <c r="N114" s="29">
        <f t="shared" si="14"/>
        <v>3.7029933064363751</v>
      </c>
      <c r="O114" s="30">
        <f t="shared" si="15"/>
        <v>0.38636363636363641</v>
      </c>
      <c r="P114" s="175">
        <f t="shared" si="16"/>
        <v>2.0279454545454548E-2</v>
      </c>
      <c r="Q114" s="26">
        <f t="shared" si="17"/>
        <v>3.7029933064363751</v>
      </c>
      <c r="AF114" s="24"/>
      <c r="AG114" s="202"/>
      <c r="AH114" s="191"/>
      <c r="AI114" s="37"/>
      <c r="AJ114" s="203"/>
      <c r="AK114" s="31"/>
      <c r="AL114" s="24"/>
      <c r="AM114" s="202"/>
      <c r="AN114" s="191"/>
      <c r="AO114" s="37"/>
      <c r="AP114" s="37"/>
      <c r="AQ114" s="37"/>
      <c r="AR114" s="24"/>
      <c r="AS114" s="202"/>
      <c r="AT114" s="191"/>
      <c r="AU114" s="24"/>
      <c r="AV114" s="202"/>
      <c r="AW114" s="191"/>
      <c r="AX114" s="24"/>
      <c r="AY114" s="202"/>
      <c r="AZ114" s="191"/>
      <c r="BA114" s="23"/>
      <c r="BB114" s="23"/>
      <c r="BC114" s="23"/>
      <c r="BD114" s="23"/>
      <c r="BE114" s="23"/>
      <c r="BF114" s="23"/>
      <c r="BG114" s="23"/>
      <c r="BH114" s="23"/>
      <c r="BI114" s="23"/>
      <c r="BJ114" s="24"/>
      <c r="BK114" s="202"/>
      <c r="BL114" s="191"/>
      <c r="BM114" s="37"/>
      <c r="BN114" s="203"/>
      <c r="BO114" s="31"/>
      <c r="BP114" s="24"/>
      <c r="BQ114" s="202"/>
      <c r="BR114" s="191"/>
      <c r="BS114" s="37"/>
      <c r="BT114" s="37"/>
      <c r="BU114" s="37"/>
      <c r="BV114" s="24"/>
      <c r="BW114" s="202"/>
      <c r="BX114" s="191"/>
      <c r="BY114" s="24"/>
      <c r="BZ114" s="202"/>
      <c r="CA114" s="191"/>
      <c r="CB114" s="24"/>
      <c r="CC114" s="202"/>
      <c r="CD114" s="191"/>
    </row>
    <row r="115" spans="1:82">
      <c r="A115" s="204">
        <v>28</v>
      </c>
      <c r="B115" s="205">
        <v>31</v>
      </c>
      <c r="C115" s="205">
        <v>56</v>
      </c>
      <c r="D115" s="205">
        <v>3.5</v>
      </c>
      <c r="E115" s="205">
        <v>2.5</v>
      </c>
      <c r="F115" s="205">
        <f t="shared" si="9"/>
        <v>3</v>
      </c>
      <c r="G115" s="206">
        <v>1</v>
      </c>
      <c r="H115" s="205">
        <v>0.111</v>
      </c>
      <c r="I115" s="205">
        <v>21.6</v>
      </c>
      <c r="J115" s="207">
        <f t="shared" si="10"/>
        <v>0.51388888888888884</v>
      </c>
      <c r="K115" s="205">
        <f t="shared" si="11"/>
        <v>3.0082370370370374E-2</v>
      </c>
      <c r="L115" s="205">
        <f t="shared" si="12"/>
        <v>3.9760782021995822E-12</v>
      </c>
      <c r="M115" s="205">
        <f t="shared" si="13"/>
        <v>7565839714.553071</v>
      </c>
      <c r="N115" s="252">
        <f t="shared" si="14"/>
        <v>7.5658397145530714</v>
      </c>
      <c r="O115" s="207">
        <f t="shared" si="15"/>
        <v>0.51388888888888884</v>
      </c>
      <c r="P115" s="253">
        <f t="shared" si="16"/>
        <v>3.0082370370370374E-2</v>
      </c>
      <c r="Q115" s="254">
        <f t="shared" si="17"/>
        <v>7.5658397145530714</v>
      </c>
      <c r="AF115" s="24"/>
      <c r="AG115" s="202"/>
      <c r="AH115" s="191"/>
      <c r="AI115" s="37"/>
      <c r="AJ115" s="203"/>
      <c r="AK115" s="31"/>
      <c r="AL115" s="24"/>
      <c r="AM115" s="202"/>
      <c r="AN115" s="191"/>
      <c r="AO115" s="37"/>
      <c r="AP115" s="37"/>
      <c r="AQ115" s="37"/>
      <c r="AR115" s="24"/>
      <c r="AS115" s="202"/>
      <c r="AT115" s="191"/>
      <c r="AU115" s="24"/>
      <c r="AV115" s="202"/>
      <c r="AW115" s="191"/>
      <c r="AX115" s="24"/>
      <c r="AY115" s="202"/>
      <c r="AZ115" s="191"/>
      <c r="BA115" s="23"/>
      <c r="BB115" s="23"/>
      <c r="BC115" s="23"/>
      <c r="BD115" s="23"/>
      <c r="BE115" s="23"/>
      <c r="BF115" s="23"/>
      <c r="BG115" s="23"/>
      <c r="BH115" s="23"/>
      <c r="BI115" s="23"/>
      <c r="BJ115" s="24"/>
      <c r="BK115" s="202"/>
      <c r="BL115" s="191"/>
      <c r="BM115" s="37"/>
      <c r="BN115" s="203"/>
      <c r="BO115" s="31"/>
      <c r="BP115" s="24"/>
      <c r="BQ115" s="202"/>
      <c r="BR115" s="191"/>
      <c r="BS115" s="37"/>
      <c r="BT115" s="37"/>
      <c r="BU115" s="37"/>
      <c r="BV115" s="24"/>
      <c r="BW115" s="202"/>
      <c r="BX115" s="191"/>
      <c r="BY115" s="24"/>
      <c r="BZ115" s="202"/>
      <c r="CA115" s="191"/>
      <c r="CB115" s="24"/>
      <c r="CC115" s="202"/>
      <c r="CD115" s="191"/>
    </row>
    <row r="116" spans="1:82">
      <c r="A116" s="204">
        <v>28</v>
      </c>
      <c r="B116" s="205">
        <v>31</v>
      </c>
      <c r="C116" s="205">
        <v>56</v>
      </c>
      <c r="D116" s="205">
        <v>3.5</v>
      </c>
      <c r="E116" s="205">
        <v>2.5</v>
      </c>
      <c r="F116" s="205">
        <f t="shared" si="9"/>
        <v>3</v>
      </c>
      <c r="G116" s="206">
        <v>2</v>
      </c>
      <c r="H116" s="205">
        <v>0.14899999999999999</v>
      </c>
      <c r="I116" s="205">
        <v>22.4</v>
      </c>
      <c r="J116" s="207">
        <f t="shared" si="10"/>
        <v>0.66517857142857151</v>
      </c>
      <c r="K116" s="205">
        <f t="shared" si="11"/>
        <v>3.8938666666666684E-2</v>
      </c>
      <c r="L116" s="205">
        <f t="shared" si="12"/>
        <v>3.9760782021995822E-12</v>
      </c>
      <c r="M116" s="205">
        <f t="shared" si="13"/>
        <v>9793234611.212038</v>
      </c>
      <c r="N116" s="252">
        <f t="shared" si="14"/>
        <v>9.7932346112120374</v>
      </c>
      <c r="O116" s="207">
        <f t="shared" si="15"/>
        <v>0.66517857142857151</v>
      </c>
      <c r="P116" s="253">
        <f t="shared" si="16"/>
        <v>3.8938666666666684E-2</v>
      </c>
      <c r="Q116" s="254">
        <f t="shared" si="17"/>
        <v>9.7932346112120374</v>
      </c>
      <c r="AF116" s="24"/>
      <c r="AG116" s="202"/>
      <c r="AH116" s="191"/>
      <c r="AI116" s="37"/>
      <c r="AJ116" s="203"/>
      <c r="AK116" s="31"/>
      <c r="AL116" s="24"/>
      <c r="AM116" s="202"/>
      <c r="AN116" s="191"/>
      <c r="AO116" s="37"/>
      <c r="AP116" s="37"/>
      <c r="AQ116" s="37"/>
      <c r="AR116" s="24"/>
      <c r="AS116" s="202"/>
      <c r="AT116" s="191"/>
      <c r="AU116" s="24"/>
      <c r="AV116" s="202"/>
      <c r="AW116" s="191"/>
      <c r="AX116" s="24"/>
      <c r="AY116" s="202"/>
      <c r="AZ116" s="191"/>
      <c r="BA116" s="23"/>
      <c r="BB116" s="23"/>
      <c r="BC116" s="23"/>
      <c r="BD116" s="23"/>
      <c r="BE116" s="23"/>
      <c r="BF116" s="23"/>
      <c r="BG116" s="23"/>
      <c r="BH116" s="23"/>
      <c r="BI116" s="23"/>
      <c r="BJ116" s="24"/>
      <c r="BK116" s="202"/>
      <c r="BL116" s="191"/>
      <c r="BM116" s="37"/>
      <c r="BN116" s="203"/>
      <c r="BO116" s="31"/>
      <c r="BP116" s="24"/>
      <c r="BQ116" s="202"/>
      <c r="BR116" s="191"/>
      <c r="BS116" s="37"/>
      <c r="BT116" s="37"/>
      <c r="BU116" s="37"/>
      <c r="BV116" s="24"/>
      <c r="BW116" s="202"/>
      <c r="BX116" s="191"/>
      <c r="BY116" s="24"/>
      <c r="BZ116" s="202"/>
      <c r="CA116" s="191"/>
      <c r="CB116" s="24"/>
      <c r="CC116" s="202"/>
      <c r="CD116" s="191"/>
    </row>
    <row r="117" spans="1:82">
      <c r="A117" s="204">
        <v>28</v>
      </c>
      <c r="B117" s="205">
        <v>31</v>
      </c>
      <c r="C117" s="205">
        <v>56</v>
      </c>
      <c r="D117" s="205">
        <v>3.5</v>
      </c>
      <c r="E117" s="205">
        <v>2.5</v>
      </c>
      <c r="F117" s="205">
        <f t="shared" si="9"/>
        <v>3</v>
      </c>
      <c r="G117" s="206">
        <v>3</v>
      </c>
      <c r="H117" s="205">
        <v>0.17299999999999999</v>
      </c>
      <c r="I117" s="205">
        <v>21</v>
      </c>
      <c r="J117" s="207">
        <f t="shared" si="10"/>
        <v>0.82380952380952377</v>
      </c>
      <c r="K117" s="205">
        <f t="shared" si="11"/>
        <v>4.8224711111111124E-2</v>
      </c>
      <c r="L117" s="205">
        <f t="shared" si="12"/>
        <v>3.9760782021995822E-12</v>
      </c>
      <c r="M117" s="205">
        <f t="shared" si="13"/>
        <v>12128712932.364616</v>
      </c>
      <c r="N117" s="252">
        <f t="shared" si="14"/>
        <v>12.128712932364616</v>
      </c>
      <c r="O117" s="207">
        <f t="shared" si="15"/>
        <v>0.82380952380952377</v>
      </c>
      <c r="P117" s="253">
        <f t="shared" si="16"/>
        <v>4.8224711111111124E-2</v>
      </c>
      <c r="Q117" s="254">
        <f t="shared" si="17"/>
        <v>12.128712932364616</v>
      </c>
      <c r="AF117" s="24"/>
      <c r="AG117" s="202"/>
      <c r="AH117" s="191"/>
      <c r="AI117" s="37"/>
      <c r="AJ117" s="203"/>
      <c r="AK117" s="31"/>
      <c r="AL117" s="24"/>
      <c r="AM117" s="202"/>
      <c r="AN117" s="191"/>
      <c r="AO117" s="37"/>
      <c r="AP117" s="37"/>
      <c r="AQ117" s="37"/>
      <c r="AR117" s="24"/>
      <c r="AS117" s="202"/>
      <c r="AT117" s="191"/>
      <c r="AU117" s="24"/>
      <c r="AV117" s="202"/>
      <c r="AW117" s="191"/>
      <c r="AX117" s="24"/>
      <c r="AY117" s="202"/>
      <c r="AZ117" s="191"/>
      <c r="BA117" s="23"/>
      <c r="BB117" s="23"/>
      <c r="BC117" s="23"/>
      <c r="BD117" s="23"/>
      <c r="BE117" s="23"/>
      <c r="BF117" s="23"/>
      <c r="BG117" s="23"/>
      <c r="BH117" s="23"/>
      <c r="BI117" s="23"/>
      <c r="BJ117" s="24"/>
      <c r="BK117" s="202"/>
      <c r="BL117" s="191"/>
      <c r="BM117" s="37"/>
      <c r="BN117" s="203"/>
      <c r="BO117" s="31"/>
      <c r="BP117" s="24"/>
      <c r="BQ117" s="202"/>
      <c r="BR117" s="191"/>
      <c r="BS117" s="37"/>
      <c r="BT117" s="37"/>
      <c r="BU117" s="37"/>
      <c r="BV117" s="24"/>
      <c r="BW117" s="202"/>
      <c r="BX117" s="191"/>
      <c r="BY117" s="24"/>
      <c r="BZ117" s="202"/>
      <c r="CA117" s="191"/>
      <c r="CB117" s="24"/>
      <c r="CC117" s="202"/>
      <c r="CD117" s="191"/>
    </row>
    <row r="118" spans="1:82">
      <c r="A118" s="204">
        <v>28</v>
      </c>
      <c r="B118" s="205">
        <v>31</v>
      </c>
      <c r="C118" s="205">
        <v>56</v>
      </c>
      <c r="D118" s="205">
        <v>3.5</v>
      </c>
      <c r="E118" s="205">
        <v>2.5</v>
      </c>
      <c r="F118" s="205">
        <f t="shared" si="9"/>
        <v>3</v>
      </c>
      <c r="G118" s="206">
        <v>4</v>
      </c>
      <c r="H118" s="205">
        <v>0.16</v>
      </c>
      <c r="I118" s="205">
        <v>22.6</v>
      </c>
      <c r="J118" s="207">
        <f t="shared" si="10"/>
        <v>0.70796460176991149</v>
      </c>
      <c r="K118" s="205">
        <f t="shared" si="11"/>
        <v>4.1443303834808272E-2</v>
      </c>
      <c r="L118" s="205">
        <f t="shared" si="12"/>
        <v>3.9760782021995822E-12</v>
      </c>
      <c r="M118" s="205">
        <f t="shared" si="13"/>
        <v>10423161147.052307</v>
      </c>
      <c r="N118" s="252">
        <f t="shared" si="14"/>
        <v>10.423161147052307</v>
      </c>
      <c r="O118" s="207">
        <f t="shared" si="15"/>
        <v>0.70796460176991149</v>
      </c>
      <c r="P118" s="253">
        <f t="shared" si="16"/>
        <v>4.1443303834808272E-2</v>
      </c>
      <c r="Q118" s="254">
        <f t="shared" si="17"/>
        <v>10.423161147052307</v>
      </c>
      <c r="AF118" s="24"/>
      <c r="AG118" s="202"/>
      <c r="AH118" s="191"/>
      <c r="AI118" s="37"/>
      <c r="AJ118" s="203"/>
      <c r="AK118" s="31"/>
      <c r="AL118" s="24"/>
      <c r="AM118" s="202"/>
      <c r="AN118" s="191"/>
      <c r="AO118" s="37"/>
      <c r="AP118" s="37"/>
      <c r="AQ118" s="37"/>
      <c r="AR118" s="24"/>
      <c r="AS118" s="202"/>
      <c r="AT118" s="191"/>
      <c r="AU118" s="24"/>
      <c r="AV118" s="202"/>
      <c r="AW118" s="191"/>
      <c r="AX118" s="24"/>
      <c r="AY118" s="202"/>
      <c r="AZ118" s="191"/>
      <c r="BA118" s="23"/>
      <c r="BB118" s="23"/>
      <c r="BC118" s="23"/>
      <c r="BD118" s="23"/>
      <c r="BE118" s="23"/>
      <c r="BF118" s="23"/>
      <c r="BG118" s="23"/>
      <c r="BH118" s="23"/>
      <c r="BI118" s="23"/>
      <c r="BJ118" s="24"/>
      <c r="BK118" s="202"/>
      <c r="BL118" s="191"/>
      <c r="BM118" s="37"/>
      <c r="BN118" s="203"/>
      <c r="BO118" s="31"/>
      <c r="BP118" s="24"/>
      <c r="BQ118" s="202"/>
      <c r="BR118" s="191"/>
      <c r="BS118" s="37"/>
      <c r="BT118" s="37"/>
      <c r="BU118" s="37"/>
      <c r="BV118" s="24"/>
      <c r="BW118" s="202"/>
      <c r="BX118" s="191"/>
      <c r="BY118" s="24"/>
      <c r="BZ118" s="202"/>
      <c r="CA118" s="191"/>
      <c r="CB118" s="24"/>
      <c r="CC118" s="202"/>
      <c r="CD118" s="191"/>
    </row>
    <row r="119" spans="1:82">
      <c r="A119" s="81">
        <v>29</v>
      </c>
      <c r="B119" s="82">
        <v>29.5</v>
      </c>
      <c r="C119" s="82">
        <v>48</v>
      </c>
      <c r="D119" s="82">
        <v>3</v>
      </c>
      <c r="E119" s="82">
        <v>2.5</v>
      </c>
      <c r="F119" s="82">
        <f t="shared" si="9"/>
        <v>2.75</v>
      </c>
      <c r="G119" s="200">
        <v>1</v>
      </c>
      <c r="H119" s="82">
        <v>7.0000000000000007E-2</v>
      </c>
      <c r="I119" s="82">
        <v>19.8</v>
      </c>
      <c r="J119" s="179">
        <f t="shared" si="10"/>
        <v>0.35353535353535354</v>
      </c>
      <c r="K119" s="82">
        <f t="shared" si="11"/>
        <v>1.3032727272727272E-2</v>
      </c>
      <c r="L119" s="3">
        <f t="shared" si="12"/>
        <v>2.8073765894292083E-12</v>
      </c>
      <c r="M119" s="3">
        <f t="shared" si="13"/>
        <v>4642315292.4335909</v>
      </c>
      <c r="N119" s="29">
        <f t="shared" si="14"/>
        <v>4.6423152924335911</v>
      </c>
      <c r="O119" s="30">
        <f t="shared" si="15"/>
        <v>0.35353535353535354</v>
      </c>
      <c r="P119" s="175">
        <f t="shared" si="16"/>
        <v>1.3032727272727272E-2</v>
      </c>
      <c r="Q119" s="26">
        <f t="shared" si="17"/>
        <v>4.6423152924335911</v>
      </c>
      <c r="AF119" s="24"/>
      <c r="AG119" s="202"/>
      <c r="AH119" s="191"/>
      <c r="AI119" s="37"/>
      <c r="AJ119" s="203"/>
      <c r="AK119" s="31"/>
      <c r="AL119" s="24"/>
      <c r="AM119" s="202"/>
      <c r="AN119" s="191"/>
      <c r="AO119" s="37"/>
      <c r="AP119" s="37"/>
      <c r="AQ119" s="37"/>
      <c r="AR119" s="24"/>
      <c r="AS119" s="202"/>
      <c r="AT119" s="191"/>
      <c r="AU119" s="24"/>
      <c r="AV119" s="202"/>
      <c r="AW119" s="191"/>
      <c r="AX119" s="24"/>
      <c r="AY119" s="202"/>
      <c r="AZ119" s="191"/>
      <c r="BA119" s="23"/>
      <c r="BB119" s="23"/>
      <c r="BC119" s="23"/>
      <c r="BD119" s="23"/>
      <c r="BE119" s="23"/>
      <c r="BF119" s="23"/>
      <c r="BG119" s="23"/>
      <c r="BH119" s="23"/>
      <c r="BI119" s="23"/>
      <c r="BJ119" s="24"/>
      <c r="BK119" s="202"/>
      <c r="BL119" s="191"/>
      <c r="BM119" s="37"/>
      <c r="BN119" s="203"/>
      <c r="BO119" s="31"/>
      <c r="BP119" s="24"/>
      <c r="BQ119" s="202"/>
      <c r="BR119" s="191"/>
      <c r="BS119" s="37"/>
      <c r="BT119" s="37"/>
      <c r="BU119" s="37"/>
      <c r="BV119" s="24"/>
      <c r="BW119" s="202"/>
      <c r="BX119" s="191"/>
      <c r="BY119" s="24"/>
      <c r="BZ119" s="202"/>
      <c r="CA119" s="191"/>
      <c r="CB119" s="24"/>
      <c r="CC119" s="202"/>
      <c r="CD119" s="191"/>
    </row>
    <row r="120" spans="1:82">
      <c r="A120" s="81">
        <v>29</v>
      </c>
      <c r="B120" s="82">
        <v>29.5</v>
      </c>
      <c r="C120" s="82">
        <v>48</v>
      </c>
      <c r="D120" s="82">
        <v>3</v>
      </c>
      <c r="E120" s="82">
        <v>2.5</v>
      </c>
      <c r="F120" s="82">
        <f t="shared" si="9"/>
        <v>2.75</v>
      </c>
      <c r="G120" s="200">
        <v>2</v>
      </c>
      <c r="H120" s="82">
        <v>8.8999999999999996E-2</v>
      </c>
      <c r="I120" s="82">
        <v>20.2</v>
      </c>
      <c r="J120" s="179">
        <f t="shared" si="10"/>
        <v>0.4405940594059406</v>
      </c>
      <c r="K120" s="82">
        <f t="shared" si="11"/>
        <v>1.6242059405940593E-2</v>
      </c>
      <c r="L120" s="3">
        <f t="shared" si="12"/>
        <v>2.8073765894292083E-12</v>
      </c>
      <c r="M120" s="3">
        <f t="shared" si="13"/>
        <v>5785493640.9663887</v>
      </c>
      <c r="N120" s="29">
        <f t="shared" si="14"/>
        <v>5.7854936409663891</v>
      </c>
      <c r="O120" s="30">
        <f t="shared" si="15"/>
        <v>0.4405940594059406</v>
      </c>
      <c r="P120" s="175">
        <f t="shared" si="16"/>
        <v>1.6242059405940593E-2</v>
      </c>
      <c r="Q120" s="26">
        <f t="shared" si="17"/>
        <v>5.7854936409663891</v>
      </c>
      <c r="AF120" s="24"/>
      <c r="AG120" s="202"/>
      <c r="AH120" s="191"/>
      <c r="AI120" s="37"/>
      <c r="AJ120" s="203"/>
      <c r="AK120" s="31"/>
      <c r="AL120" s="24"/>
      <c r="AM120" s="202"/>
      <c r="AN120" s="191"/>
      <c r="AO120" s="37"/>
      <c r="AP120" s="37"/>
      <c r="AQ120" s="37"/>
      <c r="AR120" s="24"/>
      <c r="AS120" s="202"/>
      <c r="AT120" s="191"/>
      <c r="AU120" s="24"/>
      <c r="AV120" s="202"/>
      <c r="AW120" s="191"/>
      <c r="AX120" s="24"/>
      <c r="AY120" s="202"/>
      <c r="AZ120" s="191"/>
      <c r="BA120" s="23"/>
      <c r="BB120" s="23"/>
      <c r="BC120" s="23"/>
      <c r="BD120" s="23"/>
      <c r="BE120" s="23"/>
      <c r="BF120" s="23"/>
      <c r="BG120" s="23"/>
      <c r="BH120" s="23"/>
      <c r="BI120" s="23"/>
      <c r="BJ120" s="24"/>
      <c r="BK120" s="202"/>
      <c r="BL120" s="191"/>
      <c r="BM120" s="37"/>
      <c r="BN120" s="203"/>
      <c r="BO120" s="31"/>
      <c r="BP120" s="24"/>
      <c r="BQ120" s="202"/>
      <c r="BR120" s="191"/>
      <c r="BS120" s="37"/>
      <c r="BT120" s="37"/>
      <c r="BU120" s="37"/>
      <c r="BV120" s="24"/>
      <c r="BW120" s="202"/>
      <c r="BX120" s="191"/>
      <c r="BY120" s="24"/>
      <c r="BZ120" s="202"/>
      <c r="CA120" s="191"/>
      <c r="CB120" s="24"/>
      <c r="CC120" s="202"/>
      <c r="CD120" s="191"/>
    </row>
    <row r="121" spans="1:82">
      <c r="A121" s="81">
        <v>29</v>
      </c>
      <c r="B121" s="82">
        <v>29.5</v>
      </c>
      <c r="C121" s="82">
        <v>48</v>
      </c>
      <c r="D121" s="82">
        <v>3</v>
      </c>
      <c r="E121" s="82">
        <v>2.5</v>
      </c>
      <c r="F121" s="82">
        <f t="shared" si="9"/>
        <v>2.75</v>
      </c>
      <c r="G121" s="200">
        <v>3</v>
      </c>
      <c r="H121" s="82">
        <v>0.13900000000000001</v>
      </c>
      <c r="I121" s="82">
        <v>21.4</v>
      </c>
      <c r="J121" s="179">
        <f t="shared" si="10"/>
        <v>0.64953271028037385</v>
      </c>
      <c r="K121" s="82">
        <f t="shared" si="11"/>
        <v>2.3944373831775698E-2</v>
      </c>
      <c r="L121" s="3">
        <f t="shared" si="12"/>
        <v>2.8073765894292083E-12</v>
      </c>
      <c r="M121" s="3">
        <f t="shared" si="13"/>
        <v>8529092221.5191774</v>
      </c>
      <c r="N121" s="29">
        <f t="shared" si="14"/>
        <v>8.5290922215191767</v>
      </c>
      <c r="O121" s="30">
        <f t="shared" si="15"/>
        <v>0.64953271028037385</v>
      </c>
      <c r="P121" s="175">
        <f t="shared" si="16"/>
        <v>2.3944373831775698E-2</v>
      </c>
      <c r="Q121" s="26">
        <f t="shared" si="17"/>
        <v>8.5290922215191767</v>
      </c>
      <c r="AF121" s="24"/>
      <c r="AG121" s="202"/>
      <c r="AH121" s="191"/>
      <c r="AI121" s="37"/>
      <c r="AJ121" s="203"/>
      <c r="AK121" s="31"/>
      <c r="AL121" s="24"/>
      <c r="AM121" s="202"/>
      <c r="AN121" s="191"/>
      <c r="AO121" s="37"/>
      <c r="AP121" s="37"/>
      <c r="AQ121" s="37"/>
      <c r="AR121" s="24"/>
      <c r="AS121" s="202"/>
      <c r="AT121" s="191"/>
      <c r="AU121" s="24"/>
      <c r="AV121" s="202"/>
      <c r="AW121" s="191"/>
      <c r="AX121" s="24"/>
      <c r="AY121" s="202"/>
      <c r="AZ121" s="191"/>
      <c r="BA121" s="23"/>
      <c r="BB121" s="23"/>
      <c r="BC121" s="23"/>
      <c r="BD121" s="23"/>
      <c r="BE121" s="23"/>
      <c r="BF121" s="23"/>
      <c r="BG121" s="23"/>
      <c r="BH121" s="23"/>
      <c r="BI121" s="23"/>
      <c r="BJ121" s="24"/>
      <c r="BK121" s="202"/>
      <c r="BL121" s="191"/>
      <c r="BM121" s="37"/>
      <c r="BN121" s="203"/>
      <c r="BO121" s="31"/>
      <c r="BP121" s="24"/>
      <c r="BQ121" s="202"/>
      <c r="BR121" s="191"/>
      <c r="BS121" s="37"/>
      <c r="BT121" s="37"/>
      <c r="BU121" s="37"/>
      <c r="BV121" s="24"/>
      <c r="BW121" s="202"/>
      <c r="BX121" s="191"/>
      <c r="BY121" s="24"/>
      <c r="BZ121" s="202"/>
      <c r="CA121" s="191"/>
      <c r="CB121" s="24"/>
      <c r="CC121" s="202"/>
      <c r="CD121" s="191"/>
    </row>
    <row r="122" spans="1:82">
      <c r="A122" s="81">
        <v>29</v>
      </c>
      <c r="B122" s="82">
        <v>29.5</v>
      </c>
      <c r="C122" s="82">
        <v>48</v>
      </c>
      <c r="D122" s="82">
        <v>3</v>
      </c>
      <c r="E122" s="82">
        <v>2.5</v>
      </c>
      <c r="F122" s="82">
        <f t="shared" si="9"/>
        <v>2.75</v>
      </c>
      <c r="G122" s="200">
        <v>4</v>
      </c>
      <c r="H122" s="82">
        <v>8.8999999999999996E-2</v>
      </c>
      <c r="I122" s="82">
        <v>21.4</v>
      </c>
      <c r="J122" s="179">
        <f t="shared" si="10"/>
        <v>0.41588785046728971</v>
      </c>
      <c r="K122" s="82">
        <f t="shared" si="11"/>
        <v>1.5331289719626167E-2</v>
      </c>
      <c r="L122" s="3">
        <f t="shared" si="12"/>
        <v>2.8073765894292083E-12</v>
      </c>
      <c r="M122" s="3">
        <f t="shared" si="13"/>
        <v>5461073436.8000488</v>
      </c>
      <c r="N122" s="29">
        <f t="shared" si="14"/>
        <v>5.4610734368000484</v>
      </c>
      <c r="O122" s="30">
        <f t="shared" si="15"/>
        <v>0.41588785046728971</v>
      </c>
      <c r="P122" s="175">
        <f t="shared" si="16"/>
        <v>1.5331289719626167E-2</v>
      </c>
      <c r="Q122" s="26">
        <f t="shared" si="17"/>
        <v>5.4610734368000484</v>
      </c>
      <c r="AF122" s="24"/>
      <c r="AG122" s="202"/>
      <c r="AH122" s="191"/>
      <c r="AI122" s="37"/>
      <c r="AJ122" s="203"/>
      <c r="AK122" s="31"/>
      <c r="AL122" s="24"/>
      <c r="AM122" s="202"/>
      <c r="AN122" s="191"/>
      <c r="AO122" s="37"/>
      <c r="AP122" s="37"/>
      <c r="AQ122" s="37"/>
      <c r="AR122" s="24"/>
      <c r="AS122" s="202"/>
      <c r="AT122" s="191"/>
      <c r="AU122" s="24"/>
      <c r="AV122" s="202"/>
      <c r="AW122" s="191"/>
      <c r="AX122" s="24"/>
      <c r="AY122" s="202"/>
      <c r="AZ122" s="191"/>
      <c r="BA122" s="23"/>
      <c r="BB122" s="23"/>
      <c r="BC122" s="23"/>
      <c r="BD122" s="23"/>
      <c r="BE122" s="23"/>
      <c r="BF122" s="23"/>
      <c r="BG122" s="23"/>
      <c r="BH122" s="23"/>
      <c r="BI122" s="23"/>
      <c r="BJ122" s="24"/>
      <c r="BK122" s="202"/>
      <c r="BL122" s="191"/>
      <c r="BM122" s="37"/>
      <c r="BN122" s="203"/>
      <c r="BO122" s="31"/>
      <c r="BP122" s="24"/>
      <c r="BQ122" s="202"/>
      <c r="BR122" s="191"/>
      <c r="BS122" s="37"/>
      <c r="BT122" s="37"/>
      <c r="BU122" s="37"/>
      <c r="BV122" s="24"/>
      <c r="BW122" s="202"/>
      <c r="BX122" s="191"/>
      <c r="BY122" s="24"/>
      <c r="BZ122" s="202"/>
      <c r="CA122" s="191"/>
      <c r="CB122" s="24"/>
      <c r="CC122" s="202"/>
      <c r="CD122" s="191"/>
    </row>
    <row r="123" spans="1:82">
      <c r="A123" s="204">
        <v>30</v>
      </c>
      <c r="B123" s="205">
        <v>33.5</v>
      </c>
      <c r="C123" s="205">
        <v>57</v>
      </c>
      <c r="D123" s="205">
        <v>4</v>
      </c>
      <c r="E123" s="205">
        <v>2.5</v>
      </c>
      <c r="F123" s="205">
        <f t="shared" si="9"/>
        <v>3.25</v>
      </c>
      <c r="G123" s="206">
        <v>1</v>
      </c>
      <c r="H123" s="205">
        <v>0.11700000000000001</v>
      </c>
      <c r="I123" s="205">
        <v>23.2</v>
      </c>
      <c r="J123" s="207">
        <f t="shared" si="10"/>
        <v>0.5043103448275863</v>
      </c>
      <c r="K123" s="205">
        <f t="shared" si="11"/>
        <v>3.1131581896551738E-2</v>
      </c>
      <c r="L123" s="205">
        <f t="shared" si="12"/>
        <v>5.4765031603502276E-12</v>
      </c>
      <c r="M123" s="205">
        <f t="shared" si="13"/>
        <v>5684572981.1577139</v>
      </c>
      <c r="N123" s="252">
        <f t="shared" si="14"/>
        <v>5.6845729811577135</v>
      </c>
      <c r="O123" s="207">
        <f t="shared" si="15"/>
        <v>0.5043103448275863</v>
      </c>
      <c r="P123" s="253">
        <f t="shared" si="16"/>
        <v>3.1131581896551738E-2</v>
      </c>
      <c r="Q123" s="254">
        <f t="shared" si="17"/>
        <v>5.6845729811577135</v>
      </c>
      <c r="AF123" s="24"/>
      <c r="AG123" s="202"/>
      <c r="AH123" s="191"/>
      <c r="AI123" s="37"/>
      <c r="AJ123" s="203"/>
      <c r="AK123" s="31"/>
      <c r="AL123" s="24"/>
      <c r="AM123" s="202"/>
      <c r="AN123" s="191"/>
      <c r="AO123" s="37"/>
      <c r="AP123" s="37"/>
      <c r="AQ123" s="37"/>
      <c r="AR123" s="24"/>
      <c r="AS123" s="202"/>
      <c r="AT123" s="191"/>
      <c r="AU123" s="24"/>
      <c r="AV123" s="202"/>
      <c r="AW123" s="191"/>
      <c r="AX123" s="24"/>
      <c r="AY123" s="202"/>
      <c r="AZ123" s="191"/>
      <c r="BA123" s="23"/>
      <c r="BB123" s="23"/>
      <c r="BC123" s="23"/>
      <c r="BD123" s="23"/>
      <c r="BE123" s="23"/>
      <c r="BF123" s="23"/>
      <c r="BG123" s="23"/>
      <c r="BH123" s="23"/>
      <c r="BI123" s="23"/>
      <c r="BJ123" s="24"/>
      <c r="BK123" s="202"/>
      <c r="BL123" s="191"/>
      <c r="BM123" s="37"/>
      <c r="BN123" s="203"/>
      <c r="BO123" s="31"/>
      <c r="BP123" s="24"/>
      <c r="BQ123" s="202"/>
      <c r="BR123" s="191"/>
      <c r="BS123" s="37"/>
      <c r="BT123" s="37"/>
      <c r="BU123" s="37"/>
      <c r="BV123" s="24"/>
      <c r="BW123" s="202"/>
      <c r="BX123" s="191"/>
      <c r="BY123" s="24"/>
      <c r="BZ123" s="202"/>
      <c r="CA123" s="191"/>
      <c r="CB123" s="24"/>
      <c r="CC123" s="202"/>
      <c r="CD123" s="191"/>
    </row>
    <row r="124" spans="1:82">
      <c r="A124" s="204">
        <v>30</v>
      </c>
      <c r="B124" s="205">
        <v>33.5</v>
      </c>
      <c r="C124" s="205">
        <v>57</v>
      </c>
      <c r="D124" s="205">
        <v>4</v>
      </c>
      <c r="E124" s="205">
        <v>2.5</v>
      </c>
      <c r="F124" s="205">
        <f t="shared" si="9"/>
        <v>3.25</v>
      </c>
      <c r="G124" s="206">
        <v>2</v>
      </c>
      <c r="H124" s="205">
        <v>9.1999999999999998E-2</v>
      </c>
      <c r="I124" s="205">
        <v>23.4</v>
      </c>
      <c r="J124" s="207">
        <f t="shared" si="10"/>
        <v>0.39316239316239315</v>
      </c>
      <c r="K124" s="205">
        <f t="shared" si="11"/>
        <v>2.4270307692307699E-2</v>
      </c>
      <c r="L124" s="205">
        <f t="shared" si="12"/>
        <v>5.4765031603502276E-12</v>
      </c>
      <c r="M124" s="205">
        <f t="shared" si="13"/>
        <v>4431716184.8867788</v>
      </c>
      <c r="N124" s="252">
        <f t="shared" si="14"/>
        <v>4.4317161848867785</v>
      </c>
      <c r="O124" s="207">
        <f t="shared" si="15"/>
        <v>0.39316239316239315</v>
      </c>
      <c r="P124" s="253">
        <f t="shared" si="16"/>
        <v>2.4270307692307699E-2</v>
      </c>
      <c r="Q124" s="254">
        <f t="shared" si="17"/>
        <v>4.4317161848867785</v>
      </c>
      <c r="AF124" s="24"/>
      <c r="AG124" s="202"/>
      <c r="AH124" s="191"/>
      <c r="AI124" s="37"/>
      <c r="AJ124" s="203"/>
      <c r="AK124" s="31"/>
      <c r="AL124" s="24"/>
      <c r="AM124" s="202"/>
      <c r="AN124" s="191"/>
      <c r="AO124" s="37"/>
      <c r="AP124" s="37"/>
      <c r="AQ124" s="37"/>
      <c r="AR124" s="24"/>
      <c r="AS124" s="202"/>
      <c r="AT124" s="191"/>
      <c r="AU124" s="24"/>
      <c r="AV124" s="202"/>
      <c r="AW124" s="191"/>
      <c r="AX124" s="24"/>
      <c r="AY124" s="202"/>
      <c r="AZ124" s="191"/>
      <c r="BA124" s="23"/>
      <c r="BB124" s="23"/>
      <c r="BC124" s="23"/>
      <c r="BD124" s="23"/>
      <c r="BE124" s="23"/>
      <c r="BF124" s="23"/>
      <c r="BG124" s="23"/>
      <c r="BH124" s="23"/>
      <c r="BI124" s="23"/>
      <c r="BJ124" s="24"/>
      <c r="BK124" s="202"/>
      <c r="BL124" s="191"/>
      <c r="BM124" s="37"/>
      <c r="BN124" s="203"/>
      <c r="BO124" s="31"/>
      <c r="BP124" s="24"/>
      <c r="BQ124" s="202"/>
      <c r="BR124" s="191"/>
      <c r="BS124" s="37"/>
      <c r="BT124" s="37"/>
      <c r="BU124" s="37"/>
      <c r="BV124" s="24"/>
      <c r="BW124" s="202"/>
      <c r="BX124" s="191"/>
      <c r="BY124" s="24"/>
      <c r="BZ124" s="202"/>
      <c r="CA124" s="191"/>
      <c r="CB124" s="24"/>
      <c r="CC124" s="202"/>
      <c r="CD124" s="191"/>
    </row>
    <row r="125" spans="1:82">
      <c r="A125" s="204">
        <v>30</v>
      </c>
      <c r="B125" s="205">
        <v>33.5</v>
      </c>
      <c r="C125" s="205">
        <v>57</v>
      </c>
      <c r="D125" s="205">
        <v>4</v>
      </c>
      <c r="E125" s="205">
        <v>2.5</v>
      </c>
      <c r="F125" s="205">
        <f t="shared" si="9"/>
        <v>3.25</v>
      </c>
      <c r="G125" s="206">
        <v>3</v>
      </c>
      <c r="H125" s="205">
        <v>0.09</v>
      </c>
      <c r="I125" s="205">
        <v>24.9</v>
      </c>
      <c r="J125" s="207">
        <f t="shared" si="10"/>
        <v>0.36144578313253012</v>
      </c>
      <c r="K125" s="205">
        <f t="shared" si="11"/>
        <v>2.2312409638554225E-2</v>
      </c>
      <c r="L125" s="205">
        <f t="shared" si="12"/>
        <v>5.4765031603502276E-12</v>
      </c>
      <c r="M125" s="205">
        <f t="shared" si="13"/>
        <v>4074207388.4108424</v>
      </c>
      <c r="N125" s="252">
        <f t="shared" si="14"/>
        <v>4.0742073884108425</v>
      </c>
      <c r="O125" s="207">
        <f t="shared" si="15"/>
        <v>0.36144578313253012</v>
      </c>
      <c r="P125" s="253">
        <f t="shared" si="16"/>
        <v>2.2312409638554225E-2</v>
      </c>
      <c r="Q125" s="254">
        <f t="shared" si="17"/>
        <v>4.0742073884108425</v>
      </c>
      <c r="AF125" s="24"/>
      <c r="AG125" s="202"/>
      <c r="AH125" s="191"/>
      <c r="AI125" s="37"/>
      <c r="AJ125" s="203"/>
      <c r="AK125" s="31"/>
      <c r="AL125" s="24"/>
      <c r="AM125" s="202"/>
      <c r="AN125" s="191"/>
      <c r="AO125" s="37"/>
      <c r="AP125" s="37"/>
      <c r="AQ125" s="37"/>
      <c r="AR125" s="24"/>
      <c r="AS125" s="202"/>
      <c r="AT125" s="191"/>
      <c r="AU125" s="24"/>
      <c r="AV125" s="202"/>
      <c r="AW125" s="191"/>
      <c r="AX125" s="24"/>
      <c r="AY125" s="202"/>
      <c r="AZ125" s="191"/>
      <c r="BA125" s="23"/>
      <c r="BB125" s="23"/>
      <c r="BC125" s="23"/>
      <c r="BD125" s="23"/>
      <c r="BE125" s="23"/>
      <c r="BF125" s="23"/>
      <c r="BG125" s="23"/>
      <c r="BH125" s="23"/>
      <c r="BI125" s="23"/>
      <c r="BJ125" s="24"/>
      <c r="BK125" s="202"/>
      <c r="BL125" s="191"/>
      <c r="BM125" s="37"/>
      <c r="BN125" s="203"/>
      <c r="BO125" s="31"/>
      <c r="BP125" s="24"/>
      <c r="BQ125" s="202"/>
      <c r="BR125" s="191"/>
      <c r="BS125" s="37"/>
      <c r="BT125" s="37"/>
      <c r="BU125" s="37"/>
      <c r="BV125" s="24"/>
      <c r="BW125" s="202"/>
      <c r="BX125" s="191"/>
      <c r="BY125" s="24"/>
      <c r="BZ125" s="202"/>
      <c r="CA125" s="191"/>
      <c r="CB125" s="24"/>
      <c r="CC125" s="202"/>
      <c r="CD125" s="191"/>
    </row>
    <row r="126" spans="1:82">
      <c r="A126" s="204">
        <v>30</v>
      </c>
      <c r="B126" s="205">
        <v>33.5</v>
      </c>
      <c r="C126" s="205">
        <v>57</v>
      </c>
      <c r="D126" s="205">
        <v>4</v>
      </c>
      <c r="E126" s="205">
        <v>2.5</v>
      </c>
      <c r="F126" s="205">
        <f t="shared" si="9"/>
        <v>3.25</v>
      </c>
      <c r="G126" s="206">
        <v>4</v>
      </c>
      <c r="H126" s="205">
        <v>6.0999999999999999E-2</v>
      </c>
      <c r="I126" s="205">
        <v>25.6</v>
      </c>
      <c r="J126" s="207">
        <f t="shared" si="10"/>
        <v>0.23828125</v>
      </c>
      <c r="K126" s="205">
        <f t="shared" si="11"/>
        <v>1.4709339843750004E-2</v>
      </c>
      <c r="L126" s="205">
        <f t="shared" si="12"/>
        <v>5.4765031603502276E-12</v>
      </c>
      <c r="M126" s="205">
        <f t="shared" si="13"/>
        <v>2685900000.9796996</v>
      </c>
      <c r="N126" s="252">
        <f t="shared" si="14"/>
        <v>2.6859000009796996</v>
      </c>
      <c r="O126" s="207">
        <f t="shared" si="15"/>
        <v>0.23828125</v>
      </c>
      <c r="P126" s="253">
        <f t="shared" si="16"/>
        <v>1.4709339843750004E-2</v>
      </c>
      <c r="Q126" s="254">
        <f t="shared" si="17"/>
        <v>2.6859000009796996</v>
      </c>
      <c r="AF126" s="24"/>
      <c r="AG126" s="202"/>
      <c r="AH126" s="191"/>
      <c r="AI126" s="37"/>
      <c r="AJ126" s="203"/>
      <c r="AK126" s="31"/>
      <c r="AL126" s="24"/>
      <c r="AM126" s="202"/>
      <c r="AN126" s="191"/>
      <c r="AO126" s="37"/>
      <c r="AP126" s="37"/>
      <c r="AQ126" s="37"/>
      <c r="AR126" s="24"/>
      <c r="AS126" s="202"/>
      <c r="AT126" s="191"/>
      <c r="AU126" s="24"/>
      <c r="AV126" s="202"/>
      <c r="AW126" s="191"/>
      <c r="AX126" s="24"/>
      <c r="AY126" s="202"/>
      <c r="AZ126" s="191"/>
      <c r="BA126" s="23"/>
      <c r="BB126" s="23"/>
      <c r="BC126" s="23"/>
      <c r="BD126" s="23"/>
      <c r="BE126" s="23"/>
      <c r="BF126" s="23"/>
      <c r="BG126" s="23"/>
      <c r="BH126" s="23"/>
      <c r="BI126" s="23"/>
      <c r="BJ126" s="24"/>
      <c r="BK126" s="202"/>
      <c r="BL126" s="191"/>
      <c r="BM126" s="37"/>
      <c r="BN126" s="203"/>
      <c r="BO126" s="31"/>
      <c r="BP126" s="24"/>
      <c r="BQ126" s="202"/>
      <c r="BR126" s="191"/>
      <c r="BS126" s="37"/>
      <c r="BT126" s="37"/>
      <c r="BU126" s="37"/>
      <c r="BV126" s="24"/>
      <c r="BW126" s="202"/>
      <c r="BX126" s="191"/>
      <c r="BY126" s="24"/>
      <c r="BZ126" s="202"/>
      <c r="CA126" s="191"/>
      <c r="CB126" s="24"/>
      <c r="CC126" s="202"/>
      <c r="CD126" s="191"/>
    </row>
    <row r="127" spans="1:82">
      <c r="A127" s="81">
        <v>31</v>
      </c>
      <c r="B127" s="82">
        <v>51</v>
      </c>
      <c r="C127" s="82">
        <v>71</v>
      </c>
      <c r="D127" s="82">
        <v>4</v>
      </c>
      <c r="E127" s="82">
        <v>3.5</v>
      </c>
      <c r="F127" s="82">
        <f>AVERAGE(D127:E127)</f>
        <v>3.75</v>
      </c>
      <c r="G127" s="200">
        <v>1</v>
      </c>
      <c r="H127" s="82">
        <v>0.107</v>
      </c>
      <c r="I127" s="82">
        <v>23.3</v>
      </c>
      <c r="J127" s="179">
        <f t="shared" si="10"/>
        <v>0.45922746781115875</v>
      </c>
      <c r="K127" s="82">
        <f t="shared" si="11"/>
        <v>5.4787520743919876E-2</v>
      </c>
      <c r="L127" s="3">
        <f t="shared" si="12"/>
        <v>9.7072221733388222E-12</v>
      </c>
      <c r="M127" s="3">
        <f t="shared" si="13"/>
        <v>5643995755.489706</v>
      </c>
      <c r="N127" s="29">
        <f t="shared" si="14"/>
        <v>5.6439957554897058</v>
      </c>
      <c r="O127" s="30">
        <f t="shared" si="15"/>
        <v>0.45922746781115875</v>
      </c>
      <c r="P127" s="175">
        <f t="shared" si="16"/>
        <v>5.4787520743919876E-2</v>
      </c>
      <c r="Q127" s="26">
        <f t="shared" si="17"/>
        <v>5.6439957554897058</v>
      </c>
      <c r="AF127" s="24"/>
      <c r="AG127" s="202"/>
      <c r="AH127" s="191"/>
      <c r="AI127" s="37"/>
      <c r="AJ127" s="203"/>
      <c r="AK127" s="31"/>
      <c r="AL127" s="24"/>
      <c r="AM127" s="202"/>
      <c r="AN127" s="191"/>
      <c r="AO127" s="37"/>
      <c r="AP127" s="37"/>
      <c r="AQ127" s="37"/>
      <c r="AR127" s="24"/>
      <c r="AS127" s="202"/>
      <c r="AT127" s="191"/>
      <c r="AU127" s="24"/>
      <c r="AV127" s="202"/>
      <c r="AW127" s="191"/>
      <c r="AX127" s="24"/>
      <c r="AY127" s="202"/>
      <c r="AZ127" s="191"/>
      <c r="BA127" s="23"/>
      <c r="BB127" s="23"/>
      <c r="BC127" s="23"/>
      <c r="BD127" s="23"/>
      <c r="BE127" s="23"/>
      <c r="BF127" s="23"/>
      <c r="BG127" s="23"/>
      <c r="BH127" s="23"/>
      <c r="BI127" s="23"/>
      <c r="BJ127" s="24"/>
      <c r="BK127" s="202"/>
      <c r="BL127" s="191"/>
      <c r="BM127" s="37"/>
      <c r="BN127" s="203"/>
      <c r="BO127" s="31"/>
      <c r="BP127" s="24"/>
      <c r="BQ127" s="202"/>
      <c r="BR127" s="191"/>
      <c r="BS127" s="37"/>
      <c r="BT127" s="37"/>
      <c r="BU127" s="37"/>
      <c r="BV127" s="24"/>
      <c r="BW127" s="202"/>
      <c r="BX127" s="191"/>
      <c r="BY127" s="24"/>
      <c r="BZ127" s="202"/>
      <c r="CA127" s="191"/>
      <c r="CB127" s="24"/>
      <c r="CC127" s="202"/>
      <c r="CD127" s="191"/>
    </row>
    <row r="128" spans="1:82">
      <c r="A128" s="81">
        <v>31</v>
      </c>
      <c r="B128" s="82">
        <v>51</v>
      </c>
      <c r="C128" s="82">
        <v>71</v>
      </c>
      <c r="D128" s="82">
        <v>4</v>
      </c>
      <c r="E128" s="82">
        <v>3.5</v>
      </c>
      <c r="F128" s="82">
        <f t="shared" ref="F128:F186" si="18">AVERAGE(D128:E128)</f>
        <v>3.75</v>
      </c>
      <c r="G128" s="200">
        <v>2</v>
      </c>
      <c r="H128" s="82">
        <v>0.17199999999999999</v>
      </c>
      <c r="I128" s="82">
        <v>24.1</v>
      </c>
      <c r="J128" s="179">
        <f t="shared" si="10"/>
        <v>0.71369294605809119</v>
      </c>
      <c r="K128" s="82">
        <f t="shared" si="11"/>
        <v>8.5146185338865824E-2</v>
      </c>
      <c r="L128" s="3">
        <f t="shared" si="12"/>
        <v>9.7072221733388222E-12</v>
      </c>
      <c r="M128" s="3">
        <f t="shared" si="13"/>
        <v>8771426451.1965523</v>
      </c>
      <c r="N128" s="29">
        <f t="shared" si="14"/>
        <v>8.7714264511965521</v>
      </c>
      <c r="O128" s="30">
        <f t="shared" si="15"/>
        <v>0.71369294605809119</v>
      </c>
      <c r="P128" s="175">
        <f t="shared" si="16"/>
        <v>8.5146185338865824E-2</v>
      </c>
      <c r="Q128" s="26">
        <f t="shared" si="17"/>
        <v>8.7714264511965521</v>
      </c>
      <c r="AF128" s="24"/>
      <c r="AG128" s="202"/>
      <c r="AH128" s="191"/>
      <c r="AI128" s="37"/>
      <c r="AJ128" s="203"/>
      <c r="AK128" s="31"/>
      <c r="AL128" s="24"/>
      <c r="AM128" s="202"/>
      <c r="AN128" s="191"/>
      <c r="AO128" s="37"/>
      <c r="AP128" s="37"/>
      <c r="AQ128" s="37"/>
      <c r="AR128" s="24"/>
      <c r="AS128" s="202"/>
      <c r="AT128" s="191"/>
      <c r="AU128" s="24"/>
      <c r="AV128" s="202"/>
      <c r="AW128" s="191"/>
      <c r="AX128" s="24"/>
      <c r="AY128" s="202"/>
      <c r="AZ128" s="191"/>
      <c r="BA128" s="23"/>
      <c r="BB128" s="23"/>
      <c r="BC128" s="23"/>
      <c r="BD128" s="23"/>
      <c r="BE128" s="23"/>
      <c r="BF128" s="23"/>
      <c r="BG128" s="23"/>
      <c r="BH128" s="23"/>
      <c r="BI128" s="23"/>
      <c r="BJ128" s="24"/>
      <c r="BK128" s="202"/>
      <c r="BL128" s="191"/>
      <c r="BM128" s="37"/>
      <c r="BN128" s="203"/>
      <c r="BO128" s="31"/>
      <c r="BP128" s="24"/>
      <c r="BQ128" s="202"/>
      <c r="BR128" s="191"/>
      <c r="BS128" s="37"/>
      <c r="BT128" s="37"/>
      <c r="BU128" s="37"/>
      <c r="BV128" s="24"/>
      <c r="BW128" s="202"/>
      <c r="BX128" s="191"/>
      <c r="BY128" s="24"/>
      <c r="BZ128" s="202"/>
      <c r="CA128" s="191"/>
      <c r="CB128" s="24"/>
      <c r="CC128" s="202"/>
      <c r="CD128" s="191"/>
    </row>
    <row r="129" spans="1:82">
      <c r="A129" s="81">
        <v>31</v>
      </c>
      <c r="B129" s="82">
        <v>51</v>
      </c>
      <c r="C129" s="82">
        <v>71</v>
      </c>
      <c r="D129" s="82">
        <v>4</v>
      </c>
      <c r="E129" s="82">
        <v>3.5</v>
      </c>
      <c r="F129" s="82">
        <f t="shared" si="18"/>
        <v>3.75</v>
      </c>
      <c r="G129" s="200">
        <v>3</v>
      </c>
      <c r="H129" s="82">
        <v>0.23599999999999999</v>
      </c>
      <c r="I129" s="82">
        <v>24.2</v>
      </c>
      <c r="J129" s="179">
        <f t="shared" si="10"/>
        <v>0.97520661157024791</v>
      </c>
      <c r="K129" s="82">
        <f t="shared" si="11"/>
        <v>0.11634572451790633</v>
      </c>
      <c r="L129" s="3">
        <f t="shared" si="12"/>
        <v>9.7072221733388222E-12</v>
      </c>
      <c r="M129" s="3">
        <f t="shared" si="13"/>
        <v>11985480752.408588</v>
      </c>
      <c r="N129" s="29">
        <f t="shared" si="14"/>
        <v>11.985480752408588</v>
      </c>
      <c r="O129" s="30">
        <f t="shared" si="15"/>
        <v>0.97520661157024791</v>
      </c>
      <c r="P129" s="175">
        <f t="shared" si="16"/>
        <v>0.11634572451790633</v>
      </c>
      <c r="Q129" s="26">
        <f t="shared" si="17"/>
        <v>11.985480752408588</v>
      </c>
      <c r="AF129" s="24"/>
      <c r="AG129" s="202"/>
      <c r="AH129" s="191"/>
      <c r="AI129" s="37"/>
      <c r="AJ129" s="203"/>
      <c r="AK129" s="31"/>
      <c r="AL129" s="24"/>
      <c r="AM129" s="202"/>
      <c r="AN129" s="191"/>
      <c r="AO129" s="37"/>
      <c r="AP129" s="37"/>
      <c r="AQ129" s="37"/>
      <c r="AR129" s="24"/>
      <c r="AS129" s="202"/>
      <c r="AT129" s="191"/>
      <c r="AU129" s="24"/>
      <c r="AV129" s="202"/>
      <c r="AW129" s="191"/>
      <c r="AX129" s="24"/>
      <c r="AY129" s="202"/>
      <c r="AZ129" s="191"/>
      <c r="BA129" s="23"/>
      <c r="BB129" s="23"/>
      <c r="BC129" s="23"/>
      <c r="BD129" s="23"/>
      <c r="BE129" s="23"/>
      <c r="BF129" s="23"/>
      <c r="BG129" s="23"/>
      <c r="BH129" s="23"/>
      <c r="BI129" s="23"/>
      <c r="BJ129" s="24"/>
      <c r="BK129" s="202"/>
      <c r="BL129" s="191"/>
      <c r="BM129" s="37"/>
      <c r="BN129" s="203"/>
      <c r="BO129" s="31"/>
      <c r="BP129" s="24"/>
      <c r="BQ129" s="202"/>
      <c r="BR129" s="191"/>
      <c r="BS129" s="37"/>
      <c r="BT129" s="37"/>
      <c r="BU129" s="37"/>
      <c r="BV129" s="24"/>
      <c r="BW129" s="202"/>
      <c r="BX129" s="191"/>
      <c r="BY129" s="24"/>
      <c r="BZ129" s="202"/>
      <c r="CA129" s="191"/>
      <c r="CB129" s="24"/>
      <c r="CC129" s="202"/>
      <c r="CD129" s="191"/>
    </row>
    <row r="130" spans="1:82">
      <c r="A130" s="81">
        <v>31</v>
      </c>
      <c r="B130" s="82">
        <v>51</v>
      </c>
      <c r="C130" s="82">
        <v>71</v>
      </c>
      <c r="D130" s="82">
        <v>4</v>
      </c>
      <c r="E130" s="82">
        <v>3.5</v>
      </c>
      <c r="F130" s="82">
        <f t="shared" si="18"/>
        <v>3.75</v>
      </c>
      <c r="G130" s="200">
        <v>4</v>
      </c>
      <c r="H130" s="82">
        <v>0.151</v>
      </c>
      <c r="I130" s="82">
        <v>24.6</v>
      </c>
      <c r="J130" s="179">
        <f t="shared" si="10"/>
        <v>0.61382113821138207</v>
      </c>
      <c r="K130" s="82">
        <f t="shared" si="11"/>
        <v>7.3231112466124654E-2</v>
      </c>
      <c r="L130" s="3">
        <f t="shared" si="12"/>
        <v>9.7072221733388222E-12</v>
      </c>
      <c r="M130" s="3">
        <f t="shared" si="13"/>
        <v>7543982321.4571218</v>
      </c>
      <c r="N130" s="29">
        <f t="shared" si="14"/>
        <v>7.543982321457122</v>
      </c>
      <c r="O130" s="30">
        <f t="shared" si="15"/>
        <v>0.61382113821138207</v>
      </c>
      <c r="P130" s="175">
        <f t="shared" si="16"/>
        <v>7.3231112466124654E-2</v>
      </c>
      <c r="Q130" s="26">
        <f t="shared" si="17"/>
        <v>7.543982321457122</v>
      </c>
      <c r="AF130" s="24"/>
      <c r="AG130" s="202"/>
      <c r="AH130" s="191"/>
      <c r="AI130" s="37"/>
      <c r="AJ130" s="203"/>
      <c r="AK130" s="31"/>
      <c r="AL130" s="24"/>
      <c r="AM130" s="202"/>
      <c r="AN130" s="191"/>
      <c r="AO130" s="37"/>
      <c r="AP130" s="37"/>
      <c r="AQ130" s="37"/>
      <c r="AR130" s="24"/>
      <c r="AS130" s="202"/>
      <c r="AT130" s="191"/>
      <c r="AU130" s="24"/>
      <c r="AV130" s="202"/>
      <c r="AW130" s="191"/>
      <c r="AX130" s="24"/>
      <c r="AY130" s="202"/>
      <c r="AZ130" s="191"/>
      <c r="BA130" s="23"/>
      <c r="BB130" s="23"/>
      <c r="BC130" s="23"/>
      <c r="BD130" s="23"/>
      <c r="BE130" s="23"/>
      <c r="BF130" s="23"/>
      <c r="BG130" s="23"/>
      <c r="BH130" s="23"/>
      <c r="BI130" s="23"/>
      <c r="BJ130" s="24"/>
      <c r="BK130" s="202"/>
      <c r="BL130" s="191"/>
      <c r="BM130" s="37"/>
      <c r="BN130" s="203"/>
      <c r="BO130" s="31"/>
      <c r="BP130" s="24"/>
      <c r="BQ130" s="202"/>
      <c r="BR130" s="191"/>
      <c r="BS130" s="37"/>
      <c r="BT130" s="37"/>
      <c r="BU130" s="37"/>
      <c r="BV130" s="24"/>
      <c r="BW130" s="202"/>
      <c r="BX130" s="191"/>
      <c r="BY130" s="24"/>
      <c r="BZ130" s="202"/>
      <c r="CA130" s="191"/>
      <c r="CB130" s="24"/>
      <c r="CC130" s="202"/>
      <c r="CD130" s="191"/>
    </row>
    <row r="131" spans="1:82">
      <c r="A131" s="204">
        <v>32</v>
      </c>
      <c r="B131" s="205">
        <v>32</v>
      </c>
      <c r="C131" s="205">
        <v>55</v>
      </c>
      <c r="D131" s="205">
        <v>3.5</v>
      </c>
      <c r="E131" s="205">
        <v>2.5</v>
      </c>
      <c r="F131" s="205">
        <f t="shared" si="18"/>
        <v>3</v>
      </c>
      <c r="G131" s="206">
        <v>1</v>
      </c>
      <c r="H131" s="205">
        <v>0.14199999999999999</v>
      </c>
      <c r="I131" s="205">
        <v>21.2</v>
      </c>
      <c r="J131" s="207">
        <f t="shared" si="10"/>
        <v>0.66981132075471694</v>
      </c>
      <c r="K131" s="205">
        <f t="shared" si="11"/>
        <v>3.7146619496855354E-2</v>
      </c>
      <c r="L131" s="205">
        <f t="shared" si="12"/>
        <v>3.9760782021995822E-12</v>
      </c>
      <c r="M131" s="205">
        <f t="shared" si="13"/>
        <v>9342527386.987936</v>
      </c>
      <c r="N131" s="252">
        <f t="shared" si="14"/>
        <v>9.3425273869879355</v>
      </c>
      <c r="O131" s="207">
        <f t="shared" si="15"/>
        <v>0.66981132075471694</v>
      </c>
      <c r="P131" s="253">
        <f t="shared" si="16"/>
        <v>3.7146619496855354E-2</v>
      </c>
      <c r="Q131" s="254">
        <f t="shared" si="17"/>
        <v>9.3425273869879355</v>
      </c>
      <c r="AF131" s="24"/>
      <c r="AG131" s="202"/>
      <c r="AH131" s="191"/>
      <c r="AI131" s="37"/>
      <c r="AJ131" s="203"/>
      <c r="AK131" s="31"/>
      <c r="AL131" s="24"/>
      <c r="AM131" s="202"/>
      <c r="AN131" s="191"/>
      <c r="AO131" s="37"/>
      <c r="AP131" s="37"/>
      <c r="AQ131" s="37"/>
      <c r="AR131" s="24"/>
      <c r="AS131" s="202"/>
      <c r="AT131" s="191"/>
      <c r="AU131" s="24"/>
      <c r="AV131" s="202"/>
      <c r="AW131" s="191"/>
      <c r="AX131" s="24"/>
      <c r="AY131" s="202"/>
      <c r="AZ131" s="191"/>
      <c r="BA131" s="23"/>
      <c r="BB131" s="23"/>
      <c r="BC131" s="23"/>
      <c r="BD131" s="23"/>
      <c r="BE131" s="23"/>
      <c r="BF131" s="23"/>
      <c r="BG131" s="23"/>
      <c r="BH131" s="23"/>
      <c r="BI131" s="23"/>
      <c r="BJ131" s="24"/>
      <c r="BK131" s="202"/>
      <c r="BL131" s="191"/>
      <c r="BM131" s="37"/>
      <c r="BN131" s="203"/>
      <c r="BO131" s="31"/>
      <c r="BP131" s="24"/>
      <c r="BQ131" s="202"/>
      <c r="BR131" s="191"/>
      <c r="BS131" s="37"/>
      <c r="BT131" s="37"/>
      <c r="BU131" s="37"/>
      <c r="BV131" s="24"/>
      <c r="BW131" s="202"/>
      <c r="BX131" s="191"/>
      <c r="BY131" s="24"/>
      <c r="BZ131" s="202"/>
      <c r="CA131" s="191"/>
      <c r="CB131" s="24"/>
      <c r="CC131" s="202"/>
      <c r="CD131" s="191"/>
    </row>
    <row r="132" spans="1:82">
      <c r="A132" s="204">
        <v>32</v>
      </c>
      <c r="B132" s="205">
        <v>32</v>
      </c>
      <c r="C132" s="205">
        <v>55</v>
      </c>
      <c r="D132" s="205">
        <v>3.5</v>
      </c>
      <c r="E132" s="205">
        <v>2.5</v>
      </c>
      <c r="F132" s="205">
        <f t="shared" si="18"/>
        <v>3</v>
      </c>
      <c r="G132" s="206">
        <v>2</v>
      </c>
      <c r="H132" s="205">
        <v>0.109</v>
      </c>
      <c r="I132" s="205">
        <v>22.6</v>
      </c>
      <c r="J132" s="207">
        <f t="shared" si="10"/>
        <v>0.48230088495575218</v>
      </c>
      <c r="K132" s="205">
        <f t="shared" si="11"/>
        <v>2.6747603244837766E-2</v>
      </c>
      <c r="L132" s="205">
        <f t="shared" si="12"/>
        <v>3.9760782021995822E-12</v>
      </c>
      <c r="M132" s="205">
        <f t="shared" si="13"/>
        <v>6727132084.5854807</v>
      </c>
      <c r="N132" s="252">
        <f t="shared" si="14"/>
        <v>6.727132084585481</v>
      </c>
      <c r="O132" s="207">
        <f t="shared" si="15"/>
        <v>0.48230088495575218</v>
      </c>
      <c r="P132" s="253">
        <f t="shared" si="16"/>
        <v>2.6747603244837766E-2</v>
      </c>
      <c r="Q132" s="254">
        <f t="shared" si="17"/>
        <v>6.727132084585481</v>
      </c>
      <c r="AF132" s="24"/>
      <c r="AG132" s="202"/>
      <c r="AH132" s="191"/>
      <c r="AI132" s="37"/>
      <c r="AJ132" s="203"/>
      <c r="AK132" s="31"/>
      <c r="AL132" s="24"/>
      <c r="AM132" s="202"/>
      <c r="AN132" s="191"/>
      <c r="AO132" s="37"/>
      <c r="AP132" s="37"/>
      <c r="AQ132" s="37"/>
      <c r="AR132" s="24"/>
      <c r="AS132" s="202"/>
      <c r="AT132" s="191"/>
      <c r="AU132" s="24"/>
      <c r="AV132" s="202"/>
      <c r="AW132" s="191"/>
      <c r="AX132" s="24"/>
      <c r="AY132" s="202"/>
      <c r="AZ132" s="191"/>
      <c r="BA132" s="23"/>
      <c r="BB132" s="23"/>
      <c r="BC132" s="23"/>
      <c r="BD132" s="23"/>
      <c r="BE132" s="23"/>
      <c r="BF132" s="23"/>
      <c r="BG132" s="23"/>
      <c r="BH132" s="23"/>
      <c r="BI132" s="23"/>
      <c r="BJ132" s="24"/>
      <c r="BK132" s="202"/>
      <c r="BL132" s="191"/>
      <c r="BM132" s="37"/>
      <c r="BN132" s="203"/>
      <c r="BO132" s="31"/>
      <c r="BP132" s="24"/>
      <c r="BQ132" s="202"/>
      <c r="BR132" s="191"/>
      <c r="BS132" s="37"/>
      <c r="BT132" s="37"/>
      <c r="BU132" s="37"/>
      <c r="BV132" s="24"/>
      <c r="BW132" s="202"/>
      <c r="BX132" s="191"/>
      <c r="BY132" s="24"/>
      <c r="BZ132" s="202"/>
      <c r="CA132" s="191"/>
      <c r="CB132" s="24"/>
      <c r="CC132" s="202"/>
      <c r="CD132" s="191"/>
    </row>
    <row r="133" spans="1:82">
      <c r="A133" s="204">
        <v>32</v>
      </c>
      <c r="B133" s="205">
        <v>32</v>
      </c>
      <c r="C133" s="205">
        <v>55</v>
      </c>
      <c r="D133" s="205">
        <v>3.5</v>
      </c>
      <c r="E133" s="205">
        <v>2.5</v>
      </c>
      <c r="F133" s="205">
        <f t="shared" si="18"/>
        <v>3</v>
      </c>
      <c r="G133" s="206">
        <v>3</v>
      </c>
      <c r="H133" s="205">
        <v>0.1</v>
      </c>
      <c r="I133" s="205">
        <v>22.9</v>
      </c>
      <c r="J133" s="207">
        <f t="shared" si="10"/>
        <v>0.43668122270742366</v>
      </c>
      <c r="K133" s="205">
        <f t="shared" si="11"/>
        <v>2.4217612809315878E-2</v>
      </c>
      <c r="L133" s="205">
        <f t="shared" si="12"/>
        <v>3.9760782021995822E-12</v>
      </c>
      <c r="M133" s="205">
        <f t="shared" si="13"/>
        <v>6090829097.857934</v>
      </c>
      <c r="N133" s="252">
        <f t="shared" si="14"/>
        <v>6.0908290978579336</v>
      </c>
      <c r="O133" s="207">
        <f t="shared" si="15"/>
        <v>0.43668122270742366</v>
      </c>
      <c r="P133" s="253">
        <f t="shared" si="16"/>
        <v>2.4217612809315878E-2</v>
      </c>
      <c r="Q133" s="254">
        <f t="shared" si="17"/>
        <v>6.0908290978579336</v>
      </c>
      <c r="AF133" s="24"/>
      <c r="AG133" s="202"/>
      <c r="AH133" s="191"/>
      <c r="AI133" s="37"/>
      <c r="AJ133" s="203"/>
      <c r="AK133" s="31"/>
      <c r="AL133" s="24"/>
      <c r="AM133" s="202"/>
      <c r="AN133" s="191"/>
      <c r="AO133" s="37"/>
      <c r="AP133" s="37"/>
      <c r="AQ133" s="37"/>
      <c r="AR133" s="24"/>
      <c r="AS133" s="202"/>
      <c r="AT133" s="191"/>
      <c r="AU133" s="24"/>
      <c r="AV133" s="202"/>
      <c r="AW133" s="191"/>
      <c r="AX133" s="24"/>
      <c r="AY133" s="202"/>
      <c r="AZ133" s="191"/>
      <c r="BA133" s="23"/>
      <c r="BB133" s="23"/>
      <c r="BC133" s="23"/>
      <c r="BD133" s="23"/>
      <c r="BE133" s="23"/>
      <c r="BF133" s="23"/>
      <c r="BG133" s="23"/>
      <c r="BH133" s="23"/>
      <c r="BI133" s="23"/>
      <c r="BJ133" s="24"/>
      <c r="BK133" s="202"/>
      <c r="BL133" s="191"/>
      <c r="BM133" s="37"/>
      <c r="BN133" s="203"/>
      <c r="BO133" s="31"/>
      <c r="BP133" s="24"/>
      <c r="BQ133" s="202"/>
      <c r="BR133" s="191"/>
      <c r="BS133" s="37"/>
      <c r="BT133" s="37"/>
      <c r="BU133" s="37"/>
      <c r="BV133" s="24"/>
      <c r="BW133" s="202"/>
      <c r="BX133" s="191"/>
      <c r="BY133" s="24"/>
      <c r="BZ133" s="202"/>
      <c r="CA133" s="191"/>
      <c r="CB133" s="24"/>
      <c r="CC133" s="202"/>
      <c r="CD133" s="191"/>
    </row>
    <row r="134" spans="1:82">
      <c r="A134" s="204">
        <v>32</v>
      </c>
      <c r="B134" s="205">
        <v>32</v>
      </c>
      <c r="C134" s="205">
        <v>55</v>
      </c>
      <c r="D134" s="205">
        <v>3.5</v>
      </c>
      <c r="E134" s="205">
        <v>2.5</v>
      </c>
      <c r="F134" s="205">
        <f t="shared" si="18"/>
        <v>3</v>
      </c>
      <c r="G134" s="206">
        <v>4</v>
      </c>
      <c r="H134" s="205">
        <v>0.09</v>
      </c>
      <c r="I134" s="205">
        <v>23.6</v>
      </c>
      <c r="J134" s="207">
        <f t="shared" si="10"/>
        <v>0.38135593220338981</v>
      </c>
      <c r="K134" s="205">
        <f t="shared" si="11"/>
        <v>2.1149364406779666E-2</v>
      </c>
      <c r="L134" s="205">
        <f t="shared" si="12"/>
        <v>3.9760782021995822E-12</v>
      </c>
      <c r="M134" s="205">
        <f t="shared" si="13"/>
        <v>5319152021.476779</v>
      </c>
      <c r="N134" s="252">
        <f t="shared" si="14"/>
        <v>5.3191520214767793</v>
      </c>
      <c r="O134" s="207">
        <f t="shared" si="15"/>
        <v>0.38135593220338981</v>
      </c>
      <c r="P134" s="253">
        <f t="shared" si="16"/>
        <v>2.1149364406779666E-2</v>
      </c>
      <c r="Q134" s="254">
        <f t="shared" si="17"/>
        <v>5.3191520214767793</v>
      </c>
      <c r="AF134" s="24"/>
      <c r="AG134" s="202"/>
      <c r="AH134" s="191"/>
      <c r="AI134" s="37"/>
      <c r="AJ134" s="203"/>
      <c r="AK134" s="31"/>
      <c r="AL134" s="24"/>
      <c r="AM134" s="202"/>
      <c r="AN134" s="191"/>
      <c r="AO134" s="37"/>
      <c r="AP134" s="37"/>
      <c r="AQ134" s="37"/>
      <c r="AR134" s="24"/>
      <c r="AS134" s="202"/>
      <c r="AT134" s="191"/>
      <c r="AU134" s="24"/>
      <c r="AV134" s="202"/>
      <c r="AW134" s="191"/>
      <c r="AX134" s="24"/>
      <c r="AY134" s="202"/>
      <c r="AZ134" s="191"/>
      <c r="BA134" s="23"/>
      <c r="BB134" s="23"/>
      <c r="BC134" s="23"/>
      <c r="BD134" s="23"/>
      <c r="BE134" s="23"/>
      <c r="BF134" s="23"/>
      <c r="BG134" s="23"/>
      <c r="BH134" s="23"/>
      <c r="BI134" s="23"/>
      <c r="BJ134" s="24"/>
      <c r="BK134" s="202"/>
      <c r="BL134" s="191"/>
      <c r="BM134" s="37"/>
      <c r="BN134" s="203"/>
      <c r="BO134" s="31"/>
      <c r="BP134" s="24"/>
      <c r="BQ134" s="202"/>
      <c r="BR134" s="191"/>
      <c r="BS134" s="37"/>
      <c r="BT134" s="37"/>
      <c r="BU134" s="37"/>
      <c r="BV134" s="24"/>
      <c r="BW134" s="202"/>
      <c r="BX134" s="191"/>
      <c r="BY134" s="24"/>
      <c r="BZ134" s="202"/>
      <c r="CA134" s="191"/>
      <c r="CB134" s="24"/>
      <c r="CC134" s="202"/>
      <c r="CD134" s="191"/>
    </row>
    <row r="135" spans="1:82">
      <c r="A135" s="81">
        <v>33</v>
      </c>
      <c r="B135" s="82">
        <v>45</v>
      </c>
      <c r="C135" s="82">
        <v>59</v>
      </c>
      <c r="D135" s="82">
        <v>3.5</v>
      </c>
      <c r="E135" s="82">
        <v>2.5</v>
      </c>
      <c r="F135" s="82">
        <f t="shared" si="18"/>
        <v>3</v>
      </c>
      <c r="G135" s="200">
        <v>1</v>
      </c>
      <c r="H135" s="82">
        <v>3.6999999999999998E-2</v>
      </c>
      <c r="I135" s="82">
        <v>20.8</v>
      </c>
      <c r="J135" s="179">
        <f t="shared" si="10"/>
        <v>0.17788461538461536</v>
      </c>
      <c r="K135" s="82">
        <f t="shared" si="11"/>
        <v>1.2177921474358972E-2</v>
      </c>
      <c r="L135" s="3">
        <f t="shared" si="12"/>
        <v>3.9760782021995822E-12</v>
      </c>
      <c r="M135" s="3">
        <f t="shared" si="13"/>
        <v>3062797272.8559756</v>
      </c>
      <c r="N135" s="29">
        <f t="shared" si="14"/>
        <v>3.0627972728559758</v>
      </c>
      <c r="O135" s="30">
        <f t="shared" si="15"/>
        <v>0.17788461538461536</v>
      </c>
      <c r="P135" s="175">
        <f t="shared" si="16"/>
        <v>1.2177921474358972E-2</v>
      </c>
      <c r="Q135" s="26">
        <f t="shared" si="17"/>
        <v>3.0627972728559758</v>
      </c>
      <c r="AF135" s="24"/>
      <c r="AG135" s="202"/>
      <c r="AH135" s="191"/>
      <c r="AI135" s="37"/>
      <c r="AJ135" s="203"/>
      <c r="AK135" s="31"/>
      <c r="AL135" s="24"/>
      <c r="AM135" s="202"/>
      <c r="AN135" s="191"/>
      <c r="AO135" s="37"/>
      <c r="AP135" s="37"/>
      <c r="AQ135" s="37"/>
      <c r="AR135" s="24"/>
      <c r="AS135" s="202"/>
      <c r="AT135" s="191"/>
      <c r="AU135" s="24"/>
      <c r="AV135" s="202"/>
      <c r="AW135" s="191"/>
      <c r="AX135" s="24"/>
      <c r="AY135" s="202"/>
      <c r="AZ135" s="191"/>
      <c r="BA135" s="23"/>
      <c r="BB135" s="23"/>
      <c r="BC135" s="23"/>
      <c r="BD135" s="23"/>
      <c r="BE135" s="23"/>
      <c r="BF135" s="23"/>
      <c r="BG135" s="23"/>
      <c r="BH135" s="23"/>
      <c r="BI135" s="23"/>
      <c r="BJ135" s="24"/>
      <c r="BK135" s="202"/>
      <c r="BL135" s="191"/>
      <c r="BM135" s="37"/>
      <c r="BN135" s="203"/>
      <c r="BO135" s="31"/>
      <c r="BP135" s="24"/>
      <c r="BQ135" s="202"/>
      <c r="BR135" s="191"/>
      <c r="BS135" s="37"/>
      <c r="BT135" s="37"/>
      <c r="BU135" s="37"/>
      <c r="BV135" s="24"/>
      <c r="BW135" s="202"/>
      <c r="BX135" s="191"/>
      <c r="BY135" s="24"/>
      <c r="BZ135" s="202"/>
      <c r="CA135" s="191"/>
      <c r="CB135" s="24"/>
      <c r="CC135" s="202"/>
      <c r="CD135" s="191"/>
    </row>
    <row r="136" spans="1:82">
      <c r="A136" s="81">
        <v>33</v>
      </c>
      <c r="B136" s="82">
        <v>45</v>
      </c>
      <c r="C136" s="82">
        <v>59</v>
      </c>
      <c r="D136" s="82">
        <v>3.5</v>
      </c>
      <c r="E136" s="82">
        <v>2.5</v>
      </c>
      <c r="F136" s="82">
        <f t="shared" si="18"/>
        <v>3</v>
      </c>
      <c r="G136" s="200">
        <v>2</v>
      </c>
      <c r="H136" s="82">
        <v>7.4999999999999997E-2</v>
      </c>
      <c r="I136" s="82">
        <v>22.3</v>
      </c>
      <c r="J136" s="179">
        <f t="shared" ref="J136:J199" si="19">H136/CONVERT(I136,"cm","m")</f>
        <v>0.33632286995515692</v>
      </c>
      <c r="K136" s="82">
        <f t="shared" ref="K136:K199" si="20">J136*((CONVERT(C136,"cm","m"))^3)/3</f>
        <v>2.3024551569506724E-2</v>
      </c>
      <c r="L136" s="3">
        <f t="shared" ref="L136:L199" si="21">PI()*(CONVERT(F136,"mm","m"))^4/64</f>
        <v>3.9760782021995822E-12</v>
      </c>
      <c r="M136" s="3">
        <f t="shared" ref="M136:M199" si="22">K136/L136</f>
        <v>5790769295.4251881</v>
      </c>
      <c r="N136" s="29">
        <f t="shared" ref="N136:N199" si="23">M136/10^9</f>
        <v>5.7907692954251884</v>
      </c>
      <c r="O136" s="30">
        <f t="shared" ref="O136:O199" si="24">H136*$S$8/CONVERT(I136,"cm","m")</f>
        <v>0.33632286995515692</v>
      </c>
      <c r="P136" s="175">
        <f t="shared" ref="P136:P199" si="25">O136*((CONVERT(C136,"cm","m"))^3)/3</f>
        <v>2.3024551569506724E-2</v>
      </c>
      <c r="Q136" s="26">
        <f t="shared" ref="Q136:Q199" si="26">P136/L136/10^9</f>
        <v>5.7907692954251884</v>
      </c>
      <c r="AF136" s="24"/>
      <c r="AG136" s="202"/>
      <c r="AH136" s="191"/>
      <c r="AI136" s="37"/>
      <c r="AJ136" s="203"/>
      <c r="AK136" s="31"/>
      <c r="AL136" s="24"/>
      <c r="AM136" s="202"/>
      <c r="AN136" s="191"/>
      <c r="AO136" s="37"/>
      <c r="AP136" s="37"/>
      <c r="AQ136" s="37"/>
      <c r="AR136" s="24"/>
      <c r="AS136" s="202"/>
      <c r="AT136" s="191"/>
      <c r="AU136" s="24"/>
      <c r="AV136" s="202"/>
      <c r="AW136" s="191"/>
      <c r="AX136" s="24"/>
      <c r="AY136" s="202"/>
      <c r="AZ136" s="191"/>
      <c r="BA136" s="23"/>
      <c r="BB136" s="23"/>
      <c r="BC136" s="23"/>
      <c r="BD136" s="23"/>
      <c r="BE136" s="23"/>
      <c r="BF136" s="23"/>
      <c r="BG136" s="23"/>
      <c r="BH136" s="23"/>
      <c r="BI136" s="23"/>
      <c r="BJ136" s="24"/>
      <c r="BK136" s="202"/>
      <c r="BL136" s="191"/>
      <c r="BM136" s="37"/>
      <c r="BN136" s="203"/>
      <c r="BO136" s="31"/>
      <c r="BP136" s="24"/>
      <c r="BQ136" s="202"/>
      <c r="BR136" s="191"/>
      <c r="BS136" s="37"/>
      <c r="BT136" s="37"/>
      <c r="BU136" s="37"/>
      <c r="BV136" s="24"/>
      <c r="BW136" s="202"/>
      <c r="BX136" s="191"/>
      <c r="BY136" s="24"/>
      <c r="BZ136" s="202"/>
      <c r="CA136" s="191"/>
      <c r="CB136" s="24"/>
      <c r="CC136" s="202"/>
      <c r="CD136" s="191"/>
    </row>
    <row r="137" spans="1:82">
      <c r="A137" s="81">
        <v>33</v>
      </c>
      <c r="B137" s="82">
        <v>45</v>
      </c>
      <c r="C137" s="82">
        <v>59</v>
      </c>
      <c r="D137" s="82">
        <v>3.5</v>
      </c>
      <c r="E137" s="82">
        <v>2.5</v>
      </c>
      <c r="F137" s="82">
        <f t="shared" si="18"/>
        <v>3</v>
      </c>
      <c r="G137" s="200">
        <v>3</v>
      </c>
      <c r="H137" s="82">
        <v>6.7000000000000004E-2</v>
      </c>
      <c r="I137" s="82">
        <v>22.9</v>
      </c>
      <c r="J137" s="179">
        <f t="shared" si="19"/>
        <v>0.29257641921397382</v>
      </c>
      <c r="K137" s="82">
        <f t="shared" si="20"/>
        <v>2.0029684133915576E-2</v>
      </c>
      <c r="L137" s="3">
        <f t="shared" si="21"/>
        <v>3.9760782021995822E-12</v>
      </c>
      <c r="M137" s="3">
        <f t="shared" si="22"/>
        <v>5037547833.6505241</v>
      </c>
      <c r="N137" s="29">
        <f t="shared" si="23"/>
        <v>5.0375478336505237</v>
      </c>
      <c r="O137" s="30">
        <f t="shared" si="24"/>
        <v>0.29257641921397382</v>
      </c>
      <c r="P137" s="175">
        <f t="shared" si="25"/>
        <v>2.0029684133915576E-2</v>
      </c>
      <c r="Q137" s="26">
        <f t="shared" si="26"/>
        <v>5.0375478336505237</v>
      </c>
      <c r="AF137" s="24"/>
      <c r="AG137" s="202"/>
      <c r="AH137" s="191"/>
      <c r="AI137" s="37"/>
      <c r="AJ137" s="203"/>
      <c r="AK137" s="31"/>
      <c r="AL137" s="24"/>
      <c r="AM137" s="202"/>
      <c r="AN137" s="191"/>
      <c r="AO137" s="37"/>
      <c r="AP137" s="37"/>
      <c r="AQ137" s="37"/>
      <c r="AR137" s="24"/>
      <c r="AS137" s="202"/>
      <c r="AT137" s="191"/>
      <c r="AU137" s="24"/>
      <c r="AV137" s="202"/>
      <c r="AW137" s="191"/>
      <c r="AX137" s="24"/>
      <c r="AY137" s="202"/>
      <c r="AZ137" s="191"/>
      <c r="BA137" s="23"/>
      <c r="BB137" s="23"/>
      <c r="BC137" s="23"/>
      <c r="BD137" s="23"/>
      <c r="BE137" s="23"/>
      <c r="BF137" s="23"/>
      <c r="BG137" s="23"/>
      <c r="BH137" s="23"/>
      <c r="BI137" s="23"/>
      <c r="BJ137" s="24"/>
      <c r="BK137" s="202"/>
      <c r="BL137" s="191"/>
      <c r="BM137" s="37"/>
      <c r="BN137" s="203"/>
      <c r="BO137" s="31"/>
      <c r="BP137" s="24"/>
      <c r="BQ137" s="202"/>
      <c r="BR137" s="191"/>
      <c r="BS137" s="37"/>
      <c r="BT137" s="37"/>
      <c r="BU137" s="37"/>
      <c r="BV137" s="24"/>
      <c r="BW137" s="202"/>
      <c r="BX137" s="191"/>
      <c r="BY137" s="24"/>
      <c r="BZ137" s="202"/>
      <c r="CA137" s="191"/>
      <c r="CB137" s="24"/>
      <c r="CC137" s="202"/>
      <c r="CD137" s="191"/>
    </row>
    <row r="138" spans="1:82">
      <c r="A138" s="81">
        <v>33</v>
      </c>
      <c r="B138" s="82">
        <v>45</v>
      </c>
      <c r="C138" s="82">
        <v>59</v>
      </c>
      <c r="D138" s="82">
        <v>3.5</v>
      </c>
      <c r="E138" s="82">
        <v>2.5</v>
      </c>
      <c r="F138" s="82">
        <f t="shared" si="18"/>
        <v>3</v>
      </c>
      <c r="G138" s="200">
        <v>4</v>
      </c>
      <c r="H138" s="82">
        <v>3.7999999999999999E-2</v>
      </c>
      <c r="I138" s="82">
        <v>24</v>
      </c>
      <c r="J138" s="179">
        <f t="shared" si="19"/>
        <v>0.15833333333333333</v>
      </c>
      <c r="K138" s="82">
        <f t="shared" si="20"/>
        <v>1.083944722222222E-2</v>
      </c>
      <c r="L138" s="3">
        <f t="shared" si="21"/>
        <v>3.9760782021995822E-12</v>
      </c>
      <c r="M138" s="3">
        <f t="shared" si="22"/>
        <v>2726165500.5240579</v>
      </c>
      <c r="N138" s="29">
        <f t="shared" si="23"/>
        <v>2.7261655005240577</v>
      </c>
      <c r="O138" s="30">
        <f t="shared" si="24"/>
        <v>0.15833333333333333</v>
      </c>
      <c r="P138" s="175">
        <f t="shared" si="25"/>
        <v>1.083944722222222E-2</v>
      </c>
      <c r="Q138" s="26">
        <f t="shared" si="26"/>
        <v>2.7261655005240577</v>
      </c>
      <c r="AF138" s="24"/>
      <c r="AG138" s="202"/>
      <c r="AH138" s="191"/>
      <c r="AI138" s="37"/>
      <c r="AJ138" s="203"/>
      <c r="AK138" s="31"/>
      <c r="AL138" s="24"/>
      <c r="AM138" s="202"/>
      <c r="AN138" s="191"/>
      <c r="AO138" s="37"/>
      <c r="AP138" s="37"/>
      <c r="AQ138" s="37"/>
      <c r="AR138" s="24"/>
      <c r="AS138" s="202"/>
      <c r="AT138" s="191"/>
      <c r="AU138" s="24"/>
      <c r="AV138" s="202"/>
      <c r="AW138" s="191"/>
      <c r="AX138" s="24"/>
      <c r="AY138" s="202"/>
      <c r="AZ138" s="191"/>
      <c r="BA138" s="23"/>
      <c r="BB138" s="23"/>
      <c r="BC138" s="23"/>
      <c r="BD138" s="23"/>
      <c r="BE138" s="23"/>
      <c r="BF138" s="23"/>
      <c r="BG138" s="23"/>
      <c r="BH138" s="23"/>
      <c r="BI138" s="23"/>
      <c r="BJ138" s="24"/>
      <c r="BK138" s="202"/>
      <c r="BL138" s="191"/>
      <c r="BM138" s="37"/>
      <c r="BN138" s="203"/>
      <c r="BO138" s="31"/>
      <c r="BP138" s="24"/>
      <c r="BQ138" s="202"/>
      <c r="BR138" s="191"/>
      <c r="BS138" s="37"/>
      <c r="BT138" s="37"/>
      <c r="BU138" s="37"/>
      <c r="BV138" s="24"/>
      <c r="BW138" s="202"/>
      <c r="BX138" s="191"/>
      <c r="BY138" s="24"/>
      <c r="BZ138" s="202"/>
      <c r="CA138" s="191"/>
      <c r="CB138" s="24"/>
      <c r="CC138" s="202"/>
      <c r="CD138" s="191"/>
    </row>
    <row r="139" spans="1:82">
      <c r="A139" s="204">
        <v>34</v>
      </c>
      <c r="B139" s="205">
        <v>40</v>
      </c>
      <c r="C139" s="205">
        <v>54</v>
      </c>
      <c r="D139" s="205">
        <v>3.5</v>
      </c>
      <c r="E139" s="205">
        <v>2.5</v>
      </c>
      <c r="F139" s="205">
        <f t="shared" si="18"/>
        <v>3</v>
      </c>
      <c r="G139" s="206">
        <v>1</v>
      </c>
      <c r="H139" s="205">
        <v>0.23100000000000001</v>
      </c>
      <c r="I139" s="205">
        <v>22.7</v>
      </c>
      <c r="J139" s="207">
        <f t="shared" si="19"/>
        <v>1.0176211453744493</v>
      </c>
      <c r="K139" s="205">
        <f t="shared" si="20"/>
        <v>5.3412898678414096E-2</v>
      </c>
      <c r="L139" s="205">
        <f t="shared" si="21"/>
        <v>3.9760782021995822E-12</v>
      </c>
      <c r="M139" s="205">
        <f t="shared" si="22"/>
        <v>13433563416.55098</v>
      </c>
      <c r="N139" s="252">
        <f t="shared" si="23"/>
        <v>13.43356341655098</v>
      </c>
      <c r="O139" s="207">
        <f t="shared" si="24"/>
        <v>1.0176211453744493</v>
      </c>
      <c r="P139" s="253">
        <f t="shared" si="25"/>
        <v>5.3412898678414096E-2</v>
      </c>
      <c r="Q139" s="254">
        <f t="shared" si="26"/>
        <v>13.43356341655098</v>
      </c>
      <c r="AF139" s="24"/>
      <c r="AG139" s="202"/>
      <c r="AH139" s="191"/>
      <c r="AI139" s="37"/>
      <c r="AJ139" s="203"/>
      <c r="AK139" s="31"/>
      <c r="AL139" s="24"/>
      <c r="AM139" s="202"/>
      <c r="AN139" s="191"/>
      <c r="AO139" s="37"/>
      <c r="AP139" s="37"/>
      <c r="AQ139" s="37"/>
      <c r="AR139" s="24"/>
      <c r="AS139" s="202"/>
      <c r="AT139" s="191"/>
      <c r="AU139" s="24"/>
      <c r="AV139" s="202"/>
      <c r="AW139" s="191"/>
      <c r="AX139" s="24"/>
      <c r="AY139" s="202"/>
      <c r="AZ139" s="191"/>
      <c r="BA139" s="23"/>
      <c r="BB139" s="23"/>
      <c r="BC139" s="23"/>
      <c r="BD139" s="23"/>
      <c r="BE139" s="23"/>
      <c r="BF139" s="23"/>
      <c r="BG139" s="23"/>
      <c r="BH139" s="23"/>
      <c r="BI139" s="23"/>
      <c r="BJ139" s="24"/>
      <c r="BK139" s="202"/>
      <c r="BL139" s="191"/>
      <c r="BM139" s="37"/>
      <c r="BN139" s="203"/>
      <c r="BO139" s="31"/>
      <c r="BP139" s="24"/>
      <c r="BQ139" s="202"/>
      <c r="BR139" s="191"/>
      <c r="BS139" s="37"/>
      <c r="BT139" s="37"/>
      <c r="BU139" s="37"/>
      <c r="BV139" s="24"/>
      <c r="BW139" s="202"/>
      <c r="BX139" s="191"/>
      <c r="BY139" s="24"/>
      <c r="BZ139" s="202"/>
      <c r="CA139" s="191"/>
      <c r="CB139" s="24"/>
      <c r="CC139" s="202"/>
      <c r="CD139" s="191"/>
    </row>
    <row r="140" spans="1:82">
      <c r="A140" s="204">
        <v>34</v>
      </c>
      <c r="B140" s="205">
        <v>40</v>
      </c>
      <c r="C140" s="205">
        <v>54</v>
      </c>
      <c r="D140" s="205">
        <v>3.5</v>
      </c>
      <c r="E140" s="205">
        <v>2.5</v>
      </c>
      <c r="F140" s="205">
        <f t="shared" si="18"/>
        <v>3</v>
      </c>
      <c r="G140" s="206">
        <v>2</v>
      </c>
      <c r="H140" s="205">
        <v>0.22500000000000001</v>
      </c>
      <c r="I140" s="205">
        <v>22</v>
      </c>
      <c r="J140" s="207">
        <f t="shared" si="19"/>
        <v>1.0227272727272727</v>
      </c>
      <c r="K140" s="205">
        <f t="shared" si="20"/>
        <v>5.3680909090909092E-2</v>
      </c>
      <c r="L140" s="205">
        <f t="shared" si="21"/>
        <v>3.9760782021995822E-12</v>
      </c>
      <c r="M140" s="205">
        <f t="shared" si="22"/>
        <v>13500969136.17358</v>
      </c>
      <c r="N140" s="252">
        <f t="shared" si="23"/>
        <v>13.50096913617358</v>
      </c>
      <c r="O140" s="207">
        <f t="shared" si="24"/>
        <v>1.0227272727272727</v>
      </c>
      <c r="P140" s="253">
        <f t="shared" si="25"/>
        <v>5.3680909090909092E-2</v>
      </c>
      <c r="Q140" s="254">
        <f t="shared" si="26"/>
        <v>13.50096913617358</v>
      </c>
      <c r="AF140" s="24"/>
      <c r="AG140" s="202"/>
      <c r="AH140" s="191"/>
      <c r="AI140" s="37"/>
      <c r="AJ140" s="203"/>
      <c r="AK140" s="31"/>
      <c r="AL140" s="24"/>
      <c r="AM140" s="202"/>
      <c r="AN140" s="191"/>
      <c r="AO140" s="37"/>
      <c r="AP140" s="37"/>
      <c r="AQ140" s="37"/>
      <c r="AR140" s="24"/>
      <c r="AS140" s="202"/>
      <c r="AT140" s="191"/>
      <c r="AU140" s="24"/>
      <c r="AV140" s="202"/>
      <c r="AW140" s="191"/>
      <c r="AX140" s="24"/>
      <c r="AY140" s="202"/>
      <c r="AZ140" s="191"/>
      <c r="BA140" s="23"/>
      <c r="BB140" s="23"/>
      <c r="BC140" s="23"/>
      <c r="BD140" s="23"/>
      <c r="BE140" s="23"/>
      <c r="BF140" s="23"/>
      <c r="BG140" s="23"/>
      <c r="BH140" s="23"/>
      <c r="BI140" s="23"/>
      <c r="BJ140" s="24"/>
      <c r="BK140" s="202"/>
      <c r="BL140" s="191"/>
      <c r="BM140" s="37"/>
      <c r="BN140" s="203"/>
      <c r="BO140" s="31"/>
      <c r="BP140" s="24"/>
      <c r="BQ140" s="202"/>
      <c r="BR140" s="191"/>
      <c r="BS140" s="37"/>
      <c r="BT140" s="37"/>
      <c r="BU140" s="37"/>
      <c r="BV140" s="24"/>
      <c r="BW140" s="202"/>
      <c r="BX140" s="191"/>
      <c r="BY140" s="24"/>
      <c r="BZ140" s="202"/>
      <c r="CA140" s="191"/>
      <c r="CB140" s="24"/>
      <c r="CC140" s="202"/>
      <c r="CD140" s="191"/>
    </row>
    <row r="141" spans="1:82">
      <c r="A141" s="204">
        <v>34</v>
      </c>
      <c r="B141" s="205">
        <v>40</v>
      </c>
      <c r="C141" s="205">
        <v>54</v>
      </c>
      <c r="D141" s="205">
        <v>3.5</v>
      </c>
      <c r="E141" s="205">
        <v>2.5</v>
      </c>
      <c r="F141" s="205">
        <f t="shared" si="18"/>
        <v>3</v>
      </c>
      <c r="G141" s="206">
        <v>3</v>
      </c>
      <c r="H141" s="205">
        <v>0.19800000000000001</v>
      </c>
      <c r="I141" s="205">
        <v>23.5</v>
      </c>
      <c r="J141" s="207">
        <f t="shared" si="19"/>
        <v>0.8425531914893617</v>
      </c>
      <c r="K141" s="205">
        <f t="shared" si="20"/>
        <v>4.422393191489362E-2</v>
      </c>
      <c r="L141" s="205">
        <f t="shared" si="21"/>
        <v>3.9760782021995822E-12</v>
      </c>
      <c r="M141" s="205">
        <f t="shared" si="22"/>
        <v>11122500530.907255</v>
      </c>
      <c r="N141" s="252">
        <f t="shared" si="23"/>
        <v>11.122500530907255</v>
      </c>
      <c r="O141" s="207">
        <f t="shared" si="24"/>
        <v>0.8425531914893617</v>
      </c>
      <c r="P141" s="253">
        <f t="shared" si="25"/>
        <v>4.422393191489362E-2</v>
      </c>
      <c r="Q141" s="254">
        <f t="shared" si="26"/>
        <v>11.122500530907255</v>
      </c>
      <c r="AF141" s="24"/>
      <c r="AG141" s="202"/>
      <c r="AH141" s="191"/>
      <c r="AI141" s="37"/>
      <c r="AJ141" s="203"/>
      <c r="AK141" s="31"/>
      <c r="AL141" s="24"/>
      <c r="AM141" s="202"/>
      <c r="AN141" s="191"/>
      <c r="AO141" s="37"/>
      <c r="AP141" s="37"/>
      <c r="AQ141" s="37"/>
      <c r="AR141" s="24"/>
      <c r="AS141" s="202"/>
      <c r="AT141" s="191"/>
      <c r="AU141" s="24"/>
      <c r="AV141" s="202"/>
      <c r="AW141" s="191"/>
      <c r="AX141" s="24"/>
      <c r="AY141" s="202"/>
      <c r="AZ141" s="191"/>
      <c r="BA141" s="23"/>
      <c r="BB141" s="23"/>
      <c r="BC141" s="23"/>
      <c r="BD141" s="23"/>
      <c r="BE141" s="23"/>
      <c r="BF141" s="23"/>
      <c r="BG141" s="23"/>
      <c r="BH141" s="23"/>
      <c r="BI141" s="23"/>
      <c r="BJ141" s="24"/>
      <c r="BK141" s="202"/>
      <c r="BL141" s="191"/>
      <c r="BM141" s="37"/>
      <c r="BN141" s="203"/>
      <c r="BO141" s="31"/>
      <c r="BP141" s="24"/>
      <c r="BQ141" s="202"/>
      <c r="BR141" s="191"/>
      <c r="BS141" s="37"/>
      <c r="BT141" s="37"/>
      <c r="BU141" s="37"/>
      <c r="BV141" s="24"/>
      <c r="BW141" s="202"/>
      <c r="BX141" s="191"/>
      <c r="BY141" s="24"/>
      <c r="BZ141" s="202"/>
      <c r="CA141" s="191"/>
      <c r="CB141" s="24"/>
      <c r="CC141" s="202"/>
      <c r="CD141" s="191"/>
    </row>
    <row r="142" spans="1:82">
      <c r="A142" s="204">
        <v>34</v>
      </c>
      <c r="B142" s="205">
        <v>40</v>
      </c>
      <c r="C142" s="205">
        <v>54</v>
      </c>
      <c r="D142" s="205">
        <v>3.5</v>
      </c>
      <c r="E142" s="205">
        <v>2.5</v>
      </c>
      <c r="F142" s="205">
        <f t="shared" si="18"/>
        <v>3</v>
      </c>
      <c r="G142" s="206">
        <v>4</v>
      </c>
      <c r="H142" s="205">
        <v>0.20899999999999999</v>
      </c>
      <c r="I142" s="205">
        <v>22.8</v>
      </c>
      <c r="J142" s="207">
        <f t="shared" si="19"/>
        <v>0.91666666666666663</v>
      </c>
      <c r="K142" s="205">
        <f t="shared" si="20"/>
        <v>4.8114000000000011E-2</v>
      </c>
      <c r="L142" s="205">
        <f t="shared" si="21"/>
        <v>3.9760782021995822E-12</v>
      </c>
      <c r="M142" s="205">
        <f t="shared" si="22"/>
        <v>12100868633.162989</v>
      </c>
      <c r="N142" s="252">
        <f t="shared" si="23"/>
        <v>12.100868633162989</v>
      </c>
      <c r="O142" s="207">
        <f t="shared" si="24"/>
        <v>0.91666666666666663</v>
      </c>
      <c r="P142" s="253">
        <f t="shared" si="25"/>
        <v>4.8114000000000011E-2</v>
      </c>
      <c r="Q142" s="254">
        <f t="shared" si="26"/>
        <v>12.100868633162989</v>
      </c>
      <c r="AF142" s="24"/>
      <c r="AG142" s="202"/>
      <c r="AH142" s="191"/>
      <c r="AI142" s="37"/>
      <c r="AJ142" s="203"/>
      <c r="AK142" s="31"/>
      <c r="AL142" s="24"/>
      <c r="AM142" s="202"/>
      <c r="AN142" s="191"/>
      <c r="AO142" s="37"/>
      <c r="AP142" s="37"/>
      <c r="AQ142" s="37"/>
      <c r="AR142" s="24"/>
      <c r="AS142" s="202"/>
      <c r="AT142" s="191"/>
      <c r="AU142" s="24"/>
      <c r="AV142" s="202"/>
      <c r="AW142" s="191"/>
      <c r="AX142" s="24"/>
      <c r="AY142" s="202"/>
      <c r="AZ142" s="191"/>
      <c r="BA142" s="23"/>
      <c r="BB142" s="23"/>
      <c r="BC142" s="23"/>
      <c r="BD142" s="23"/>
      <c r="BE142" s="23"/>
      <c r="BF142" s="23"/>
      <c r="BG142" s="23"/>
      <c r="BH142" s="23"/>
      <c r="BI142" s="23"/>
      <c r="BJ142" s="24"/>
      <c r="BK142" s="202"/>
      <c r="BL142" s="191"/>
      <c r="BM142" s="37"/>
      <c r="BN142" s="203"/>
      <c r="BO142" s="31"/>
      <c r="BP142" s="24"/>
      <c r="BQ142" s="202"/>
      <c r="BR142" s="191"/>
      <c r="BS142" s="37"/>
      <c r="BT142" s="37"/>
      <c r="BU142" s="37"/>
      <c r="BV142" s="24"/>
      <c r="BW142" s="202"/>
      <c r="BX142" s="191"/>
      <c r="BY142" s="24"/>
      <c r="BZ142" s="202"/>
      <c r="CA142" s="191"/>
      <c r="CB142" s="24"/>
      <c r="CC142" s="202"/>
      <c r="CD142" s="191"/>
    </row>
    <row r="143" spans="1:82">
      <c r="A143" s="81">
        <v>35</v>
      </c>
      <c r="B143" s="82">
        <v>41</v>
      </c>
      <c r="C143" s="82">
        <v>50</v>
      </c>
      <c r="D143" s="82">
        <v>3.5</v>
      </c>
      <c r="E143" s="82">
        <v>2.5</v>
      </c>
      <c r="F143" s="82">
        <f t="shared" si="18"/>
        <v>3</v>
      </c>
      <c r="G143" s="200">
        <v>1</v>
      </c>
      <c r="H143" s="82">
        <v>0.13900000000000001</v>
      </c>
      <c r="I143" s="82">
        <v>20</v>
      </c>
      <c r="J143" s="179">
        <f t="shared" si="19"/>
        <v>0.69500000000000006</v>
      </c>
      <c r="K143" s="82">
        <f t="shared" si="20"/>
        <v>2.8958333333333336E-2</v>
      </c>
      <c r="L143" s="3">
        <f t="shared" si="21"/>
        <v>3.9760782021995822E-12</v>
      </c>
      <c r="M143" s="3">
        <f t="shared" si="22"/>
        <v>7283139782.6414661</v>
      </c>
      <c r="N143" s="29">
        <f t="shared" si="23"/>
        <v>7.2831397826414666</v>
      </c>
      <c r="O143" s="30">
        <f t="shared" si="24"/>
        <v>0.69500000000000006</v>
      </c>
      <c r="P143" s="175">
        <f t="shared" si="25"/>
        <v>2.8958333333333336E-2</v>
      </c>
      <c r="Q143" s="26">
        <f t="shared" si="26"/>
        <v>7.2831397826414666</v>
      </c>
      <c r="AF143" s="24"/>
      <c r="AG143" s="202"/>
      <c r="AH143" s="191"/>
      <c r="AI143" s="37"/>
      <c r="AJ143" s="203"/>
      <c r="AK143" s="31"/>
      <c r="AL143" s="24"/>
      <c r="AM143" s="202"/>
      <c r="AN143" s="191"/>
      <c r="AO143" s="37"/>
      <c r="AP143" s="37"/>
      <c r="AQ143" s="37"/>
      <c r="AR143" s="24"/>
      <c r="AS143" s="202"/>
      <c r="AT143" s="191"/>
      <c r="AU143" s="24"/>
      <c r="AV143" s="202"/>
      <c r="AW143" s="191"/>
      <c r="AX143" s="24"/>
      <c r="AY143" s="202"/>
      <c r="AZ143" s="191"/>
      <c r="BA143" s="23"/>
      <c r="BB143" s="23"/>
      <c r="BC143" s="23"/>
      <c r="BD143" s="23"/>
      <c r="BE143" s="23"/>
      <c r="BF143" s="23"/>
      <c r="BG143" s="23"/>
      <c r="BH143" s="23"/>
      <c r="BI143" s="23"/>
      <c r="BJ143" s="24"/>
      <c r="BK143" s="202"/>
      <c r="BL143" s="191"/>
      <c r="BM143" s="37"/>
      <c r="BN143" s="203"/>
      <c r="BO143" s="31"/>
      <c r="BP143" s="24"/>
      <c r="BQ143" s="202"/>
      <c r="BR143" s="191"/>
      <c r="BS143" s="37"/>
      <c r="BT143" s="37"/>
      <c r="BU143" s="37"/>
      <c r="BV143" s="24"/>
      <c r="BW143" s="202"/>
      <c r="BX143" s="191"/>
      <c r="BY143" s="24"/>
      <c r="BZ143" s="202"/>
      <c r="CA143" s="191"/>
      <c r="CB143" s="24"/>
      <c r="CC143" s="202"/>
      <c r="CD143" s="191"/>
    </row>
    <row r="144" spans="1:82">
      <c r="A144" s="81">
        <v>35</v>
      </c>
      <c r="B144" s="82">
        <v>41</v>
      </c>
      <c r="C144" s="82">
        <v>50</v>
      </c>
      <c r="D144" s="82">
        <v>3.5</v>
      </c>
      <c r="E144" s="82">
        <v>2.5</v>
      </c>
      <c r="F144" s="82">
        <f t="shared" si="18"/>
        <v>3</v>
      </c>
      <c r="G144" s="200">
        <v>2</v>
      </c>
      <c r="H144" s="82">
        <v>0.13900000000000001</v>
      </c>
      <c r="I144" s="82">
        <v>21.3</v>
      </c>
      <c r="J144" s="179">
        <f t="shared" si="19"/>
        <v>0.65258215962441313</v>
      </c>
      <c r="K144" s="82">
        <f t="shared" si="20"/>
        <v>2.7190923317683881E-2</v>
      </c>
      <c r="L144" s="3">
        <f t="shared" si="21"/>
        <v>3.9760782021995822E-12</v>
      </c>
      <c r="M144" s="3">
        <f t="shared" si="22"/>
        <v>6838628903.8886995</v>
      </c>
      <c r="N144" s="29">
        <f t="shared" si="23"/>
        <v>6.8386289038886998</v>
      </c>
      <c r="O144" s="30">
        <f t="shared" si="24"/>
        <v>0.65258215962441313</v>
      </c>
      <c r="P144" s="175">
        <f t="shared" si="25"/>
        <v>2.7190923317683881E-2</v>
      </c>
      <c r="Q144" s="26">
        <f t="shared" si="26"/>
        <v>6.8386289038886998</v>
      </c>
      <c r="AF144" s="24"/>
      <c r="AG144" s="202"/>
      <c r="AH144" s="191"/>
      <c r="AI144" s="37"/>
      <c r="AJ144" s="203"/>
      <c r="AK144" s="31"/>
      <c r="AL144" s="24"/>
      <c r="AM144" s="202"/>
      <c r="AN144" s="191"/>
      <c r="AO144" s="37"/>
      <c r="AP144" s="37"/>
      <c r="AQ144" s="37"/>
      <c r="AR144" s="24"/>
      <c r="AS144" s="202"/>
      <c r="AT144" s="191"/>
      <c r="AU144" s="24"/>
      <c r="AV144" s="202"/>
      <c r="AW144" s="191"/>
      <c r="AX144" s="24"/>
      <c r="AY144" s="202"/>
      <c r="AZ144" s="191"/>
      <c r="BA144" s="23"/>
      <c r="BB144" s="23"/>
      <c r="BC144" s="23"/>
      <c r="BD144" s="23"/>
      <c r="BE144" s="23"/>
      <c r="BF144" s="23"/>
      <c r="BG144" s="23"/>
      <c r="BH144" s="23"/>
      <c r="BI144" s="23"/>
      <c r="BJ144" s="24"/>
      <c r="BK144" s="202"/>
      <c r="BL144" s="191"/>
      <c r="BM144" s="37"/>
      <c r="BN144" s="203"/>
      <c r="BO144" s="31"/>
      <c r="BP144" s="24"/>
      <c r="BQ144" s="202"/>
      <c r="BR144" s="191"/>
      <c r="BS144" s="37"/>
      <c r="BT144" s="37"/>
      <c r="BU144" s="37"/>
      <c r="BV144" s="24"/>
      <c r="BW144" s="202"/>
      <c r="BX144" s="191"/>
      <c r="BY144" s="24"/>
      <c r="BZ144" s="202"/>
      <c r="CA144" s="191"/>
      <c r="CB144" s="24"/>
      <c r="CC144" s="202"/>
      <c r="CD144" s="191"/>
    </row>
    <row r="145" spans="1:82">
      <c r="A145" s="81">
        <v>35</v>
      </c>
      <c r="B145" s="82">
        <v>41</v>
      </c>
      <c r="C145" s="82">
        <v>50</v>
      </c>
      <c r="D145" s="82">
        <v>3.5</v>
      </c>
      <c r="E145" s="82">
        <v>2.5</v>
      </c>
      <c r="F145" s="82">
        <f t="shared" si="18"/>
        <v>3</v>
      </c>
      <c r="G145" s="200">
        <v>3</v>
      </c>
      <c r="H145" s="82">
        <v>0.124</v>
      </c>
      <c r="I145" s="82">
        <v>20</v>
      </c>
      <c r="J145" s="179">
        <f t="shared" si="19"/>
        <v>0.62</v>
      </c>
      <c r="K145" s="82">
        <f t="shared" si="20"/>
        <v>2.5833333333333333E-2</v>
      </c>
      <c r="L145" s="3">
        <f t="shared" si="21"/>
        <v>3.9760782021995822E-12</v>
      </c>
      <c r="M145" s="3">
        <f t="shared" si="22"/>
        <v>6497189446.3851919</v>
      </c>
      <c r="N145" s="29">
        <f t="shared" si="23"/>
        <v>6.4971894463851916</v>
      </c>
      <c r="O145" s="30">
        <f t="shared" si="24"/>
        <v>0.62</v>
      </c>
      <c r="P145" s="175">
        <f t="shared" si="25"/>
        <v>2.5833333333333333E-2</v>
      </c>
      <c r="Q145" s="26">
        <f t="shared" si="26"/>
        <v>6.4971894463851916</v>
      </c>
      <c r="AF145" s="24"/>
      <c r="AG145" s="202"/>
      <c r="AH145" s="191"/>
      <c r="AI145" s="37"/>
      <c r="AJ145" s="203"/>
      <c r="AK145" s="31"/>
      <c r="AL145" s="24"/>
      <c r="AM145" s="202"/>
      <c r="AN145" s="191"/>
      <c r="AO145" s="37"/>
      <c r="AP145" s="37"/>
      <c r="AQ145" s="37"/>
      <c r="AR145" s="24"/>
      <c r="AS145" s="202"/>
      <c r="AT145" s="191"/>
      <c r="AU145" s="24"/>
      <c r="AV145" s="202"/>
      <c r="AW145" s="191"/>
      <c r="AX145" s="24"/>
      <c r="AY145" s="202"/>
      <c r="AZ145" s="191"/>
      <c r="BA145" s="23"/>
      <c r="BB145" s="23"/>
      <c r="BC145" s="23"/>
      <c r="BD145" s="23"/>
      <c r="BE145" s="23"/>
      <c r="BF145" s="23"/>
      <c r="BG145" s="23"/>
      <c r="BH145" s="23"/>
      <c r="BI145" s="23"/>
      <c r="BJ145" s="24"/>
      <c r="BK145" s="202"/>
      <c r="BL145" s="191"/>
      <c r="BM145" s="37"/>
      <c r="BN145" s="203"/>
      <c r="BO145" s="31"/>
      <c r="BP145" s="24"/>
      <c r="BQ145" s="202"/>
      <c r="BR145" s="191"/>
      <c r="BS145" s="37"/>
      <c r="BT145" s="37"/>
      <c r="BU145" s="37"/>
      <c r="BV145" s="24"/>
      <c r="BW145" s="202"/>
      <c r="BX145" s="191"/>
      <c r="BY145" s="24"/>
      <c r="BZ145" s="202"/>
      <c r="CA145" s="191"/>
      <c r="CB145" s="24"/>
      <c r="CC145" s="202"/>
      <c r="CD145" s="191"/>
    </row>
    <row r="146" spans="1:82">
      <c r="A146" s="81">
        <v>35</v>
      </c>
      <c r="B146" s="82">
        <v>41</v>
      </c>
      <c r="C146" s="82">
        <v>50</v>
      </c>
      <c r="D146" s="82">
        <v>3.5</v>
      </c>
      <c r="E146" s="82">
        <v>2.5</v>
      </c>
      <c r="F146" s="82">
        <f t="shared" si="18"/>
        <v>3</v>
      </c>
      <c r="G146" s="200">
        <v>4</v>
      </c>
      <c r="H146" s="82">
        <v>7.1999999999999995E-2</v>
      </c>
      <c r="I146" s="82">
        <v>22.1</v>
      </c>
      <c r="J146" s="179">
        <f t="shared" si="19"/>
        <v>0.32579185520361986</v>
      </c>
      <c r="K146" s="82">
        <f t="shared" si="20"/>
        <v>1.3574660633484162E-2</v>
      </c>
      <c r="L146" s="3">
        <f t="shared" si="21"/>
        <v>3.9760782021995822E-12</v>
      </c>
      <c r="M146" s="3">
        <f t="shared" si="22"/>
        <v>3414082908.6245351</v>
      </c>
      <c r="N146" s="29">
        <f t="shared" si="23"/>
        <v>3.4140829086245352</v>
      </c>
      <c r="O146" s="30">
        <f t="shared" si="24"/>
        <v>0.32579185520361986</v>
      </c>
      <c r="P146" s="175">
        <f t="shared" si="25"/>
        <v>1.3574660633484162E-2</v>
      </c>
      <c r="Q146" s="26">
        <f t="shared" si="26"/>
        <v>3.4140829086245352</v>
      </c>
      <c r="AF146" s="24"/>
      <c r="AG146" s="202"/>
      <c r="AH146" s="191"/>
      <c r="AI146" s="37"/>
      <c r="AJ146" s="203"/>
      <c r="AK146" s="31"/>
      <c r="AL146" s="24"/>
      <c r="AM146" s="202"/>
      <c r="AN146" s="191"/>
      <c r="AO146" s="37"/>
      <c r="AP146" s="37"/>
      <c r="AQ146" s="37"/>
      <c r="AR146" s="24"/>
      <c r="AS146" s="202"/>
      <c r="AT146" s="191"/>
      <c r="AU146" s="24"/>
      <c r="AV146" s="202"/>
      <c r="AW146" s="191"/>
      <c r="AX146" s="24"/>
      <c r="AY146" s="202"/>
      <c r="AZ146" s="191"/>
      <c r="BA146" s="23"/>
      <c r="BB146" s="23"/>
      <c r="BC146" s="23"/>
      <c r="BD146" s="23"/>
      <c r="BE146" s="23"/>
      <c r="BF146" s="23"/>
      <c r="BG146" s="23"/>
      <c r="BH146" s="23"/>
      <c r="BI146" s="23"/>
      <c r="BJ146" s="24"/>
      <c r="BK146" s="202"/>
      <c r="BL146" s="191"/>
      <c r="BM146" s="37"/>
      <c r="BN146" s="203"/>
      <c r="BO146" s="31"/>
      <c r="BP146" s="24"/>
      <c r="BQ146" s="202"/>
      <c r="BR146" s="191"/>
      <c r="BS146" s="37"/>
      <c r="BT146" s="37"/>
      <c r="BU146" s="37"/>
      <c r="BV146" s="24"/>
      <c r="BW146" s="202"/>
      <c r="BX146" s="191"/>
      <c r="BY146" s="24"/>
      <c r="BZ146" s="202"/>
      <c r="CA146" s="191"/>
      <c r="CB146" s="24"/>
      <c r="CC146" s="202"/>
      <c r="CD146" s="191"/>
    </row>
    <row r="147" spans="1:82">
      <c r="A147" s="204">
        <v>36</v>
      </c>
      <c r="B147" s="205">
        <v>45</v>
      </c>
      <c r="C147" s="205">
        <v>60</v>
      </c>
      <c r="D147" s="205">
        <v>4</v>
      </c>
      <c r="E147" s="205">
        <v>3</v>
      </c>
      <c r="F147" s="205">
        <f t="shared" si="18"/>
        <v>3.5</v>
      </c>
      <c r="G147" s="206">
        <v>1</v>
      </c>
      <c r="H147" s="205">
        <v>0.152</v>
      </c>
      <c r="I147" s="205">
        <v>23</v>
      </c>
      <c r="J147" s="207">
        <f t="shared" si="19"/>
        <v>0.66086956521739126</v>
      </c>
      <c r="K147" s="205">
        <f t="shared" si="20"/>
        <v>4.7582608695652173E-2</v>
      </c>
      <c r="L147" s="205">
        <f t="shared" si="21"/>
        <v>7.3661757434268517E-12</v>
      </c>
      <c r="M147" s="205">
        <f t="shared" si="22"/>
        <v>6459608126.7966127</v>
      </c>
      <c r="N147" s="252">
        <f t="shared" si="23"/>
        <v>6.4596081267966126</v>
      </c>
      <c r="O147" s="207">
        <f t="shared" si="24"/>
        <v>0.66086956521739126</v>
      </c>
      <c r="P147" s="253">
        <f t="shared" si="25"/>
        <v>4.7582608695652173E-2</v>
      </c>
      <c r="Q147" s="254">
        <f t="shared" si="26"/>
        <v>6.4596081267966126</v>
      </c>
      <c r="AF147" s="24"/>
      <c r="AG147" s="202"/>
      <c r="AH147" s="191"/>
      <c r="AI147" s="37"/>
      <c r="AJ147" s="203"/>
      <c r="AK147" s="31"/>
      <c r="AL147" s="24"/>
      <c r="AM147" s="202"/>
      <c r="AN147" s="191"/>
      <c r="AO147" s="37"/>
      <c r="AP147" s="37"/>
      <c r="AQ147" s="37"/>
      <c r="AR147" s="24"/>
      <c r="AS147" s="202"/>
      <c r="AT147" s="191"/>
      <c r="AU147" s="24"/>
      <c r="AV147" s="202"/>
      <c r="AW147" s="191"/>
      <c r="AX147" s="24"/>
      <c r="AY147" s="202"/>
      <c r="AZ147" s="191"/>
      <c r="BA147" s="23"/>
      <c r="BB147" s="23"/>
      <c r="BC147" s="23"/>
      <c r="BD147" s="23"/>
      <c r="BE147" s="23"/>
      <c r="BF147" s="23"/>
      <c r="BG147" s="23"/>
      <c r="BH147" s="23"/>
      <c r="BI147" s="23"/>
      <c r="BJ147" s="24"/>
      <c r="BK147" s="202"/>
      <c r="BL147" s="191"/>
      <c r="BM147" s="37"/>
      <c r="BN147" s="203"/>
      <c r="BO147" s="31"/>
      <c r="BP147" s="24"/>
      <c r="BQ147" s="202"/>
      <c r="BR147" s="191"/>
      <c r="BS147" s="37"/>
      <c r="BT147" s="37"/>
      <c r="BU147" s="37"/>
      <c r="BV147" s="24"/>
      <c r="BW147" s="202"/>
      <c r="BX147" s="191"/>
      <c r="BY147" s="24"/>
      <c r="BZ147" s="202"/>
      <c r="CA147" s="191"/>
      <c r="CB147" s="24"/>
      <c r="CC147" s="202"/>
      <c r="CD147" s="191"/>
    </row>
    <row r="148" spans="1:82">
      <c r="A148" s="204">
        <v>36</v>
      </c>
      <c r="B148" s="205">
        <v>45</v>
      </c>
      <c r="C148" s="205">
        <v>60</v>
      </c>
      <c r="D148" s="205">
        <v>4</v>
      </c>
      <c r="E148" s="205">
        <v>3</v>
      </c>
      <c r="F148" s="205">
        <f t="shared" si="18"/>
        <v>3.5</v>
      </c>
      <c r="G148" s="206">
        <v>2</v>
      </c>
      <c r="H148" s="205">
        <v>0.112</v>
      </c>
      <c r="I148" s="205">
        <v>22.9</v>
      </c>
      <c r="J148" s="207">
        <f t="shared" si="19"/>
        <v>0.48908296943231444</v>
      </c>
      <c r="K148" s="205">
        <f t="shared" si="20"/>
        <v>3.5213973799126642E-2</v>
      </c>
      <c r="L148" s="205">
        <f t="shared" si="21"/>
        <v>7.3661757434268517E-12</v>
      </c>
      <c r="M148" s="205">
        <f t="shared" si="22"/>
        <v>4780496016.6134443</v>
      </c>
      <c r="N148" s="252">
        <f t="shared" si="23"/>
        <v>4.7804960166134443</v>
      </c>
      <c r="O148" s="207">
        <f t="shared" si="24"/>
        <v>0.48908296943231444</v>
      </c>
      <c r="P148" s="253">
        <f t="shared" si="25"/>
        <v>3.5213973799126642E-2</v>
      </c>
      <c r="Q148" s="254">
        <f t="shared" si="26"/>
        <v>4.7804960166134443</v>
      </c>
      <c r="AF148" s="24"/>
      <c r="AG148" s="202"/>
      <c r="AH148" s="191"/>
      <c r="AI148" s="37"/>
      <c r="AJ148" s="203"/>
      <c r="AK148" s="31"/>
      <c r="AL148" s="24"/>
      <c r="AM148" s="202"/>
      <c r="AN148" s="191"/>
      <c r="AO148" s="37"/>
      <c r="AP148" s="37"/>
      <c r="AQ148" s="37"/>
      <c r="AR148" s="24"/>
      <c r="AS148" s="202"/>
      <c r="AT148" s="191"/>
      <c r="AU148" s="24"/>
      <c r="AV148" s="202"/>
      <c r="AW148" s="191"/>
      <c r="AX148" s="24"/>
      <c r="AY148" s="202"/>
      <c r="AZ148" s="191"/>
      <c r="BA148" s="23"/>
      <c r="BB148" s="23"/>
      <c r="BC148" s="23"/>
      <c r="BD148" s="23"/>
      <c r="BE148" s="23"/>
      <c r="BF148" s="23"/>
      <c r="BG148" s="23"/>
      <c r="BH148" s="23"/>
      <c r="BI148" s="23"/>
      <c r="BJ148" s="24"/>
      <c r="BK148" s="202"/>
      <c r="BL148" s="191"/>
      <c r="BM148" s="37"/>
      <c r="BN148" s="203"/>
      <c r="BO148" s="31"/>
      <c r="BP148" s="24"/>
      <c r="BQ148" s="202"/>
      <c r="BR148" s="191"/>
      <c r="BS148" s="37"/>
      <c r="BT148" s="37"/>
      <c r="BU148" s="37"/>
      <c r="BV148" s="24"/>
      <c r="BW148" s="202"/>
      <c r="BX148" s="191"/>
      <c r="BY148" s="24"/>
      <c r="BZ148" s="202"/>
      <c r="CA148" s="191"/>
      <c r="CB148" s="24"/>
      <c r="CC148" s="202"/>
      <c r="CD148" s="191"/>
    </row>
    <row r="149" spans="1:82">
      <c r="A149" s="204">
        <v>36</v>
      </c>
      <c r="B149" s="205">
        <v>45</v>
      </c>
      <c r="C149" s="205">
        <v>60</v>
      </c>
      <c r="D149" s="205">
        <v>4</v>
      </c>
      <c r="E149" s="205">
        <v>3</v>
      </c>
      <c r="F149" s="205">
        <f t="shared" si="18"/>
        <v>3.5</v>
      </c>
      <c r="G149" s="206">
        <v>3</v>
      </c>
      <c r="H149" s="205">
        <v>0.14399999999999999</v>
      </c>
      <c r="I149" s="205">
        <v>21.3</v>
      </c>
      <c r="J149" s="207">
        <f t="shared" si="19"/>
        <v>0.67605633802816889</v>
      </c>
      <c r="K149" s="205">
        <f t="shared" si="20"/>
        <v>4.8676056338028156E-2</v>
      </c>
      <c r="L149" s="205">
        <f t="shared" si="21"/>
        <v>7.3661757434268517E-12</v>
      </c>
      <c r="M149" s="205">
        <f t="shared" si="22"/>
        <v>6608049825.781559</v>
      </c>
      <c r="N149" s="252">
        <f t="shared" si="23"/>
        <v>6.608049825781559</v>
      </c>
      <c r="O149" s="207">
        <f t="shared" si="24"/>
        <v>0.67605633802816889</v>
      </c>
      <c r="P149" s="253">
        <f t="shared" si="25"/>
        <v>4.8676056338028156E-2</v>
      </c>
      <c r="Q149" s="254">
        <f t="shared" si="26"/>
        <v>6.608049825781559</v>
      </c>
      <c r="AF149" s="24"/>
      <c r="AG149" s="202"/>
      <c r="AH149" s="191"/>
      <c r="AI149" s="37"/>
      <c r="AJ149" s="203"/>
      <c r="AK149" s="31"/>
      <c r="AL149" s="24"/>
      <c r="AM149" s="202"/>
      <c r="AN149" s="191"/>
      <c r="AO149" s="37"/>
      <c r="AP149" s="37"/>
      <c r="AQ149" s="37"/>
      <c r="AR149" s="24"/>
      <c r="AS149" s="202"/>
      <c r="AT149" s="191"/>
      <c r="AU149" s="24"/>
      <c r="AV149" s="202"/>
      <c r="AW149" s="191"/>
      <c r="AX149" s="24"/>
      <c r="AY149" s="202"/>
      <c r="AZ149" s="191"/>
      <c r="BA149" s="23"/>
      <c r="BB149" s="23"/>
      <c r="BC149" s="23"/>
      <c r="BD149" s="23"/>
      <c r="BE149" s="23"/>
      <c r="BF149" s="23"/>
      <c r="BG149" s="23"/>
      <c r="BH149" s="23"/>
      <c r="BI149" s="23"/>
      <c r="BJ149" s="24"/>
      <c r="BK149" s="202"/>
      <c r="BL149" s="191"/>
      <c r="BM149" s="37"/>
      <c r="BN149" s="203"/>
      <c r="BO149" s="31"/>
      <c r="BP149" s="24"/>
      <c r="BQ149" s="202"/>
      <c r="BR149" s="191"/>
      <c r="BS149" s="37"/>
      <c r="BT149" s="37"/>
      <c r="BU149" s="37"/>
      <c r="BV149" s="24"/>
      <c r="BW149" s="202"/>
      <c r="BX149" s="191"/>
      <c r="BY149" s="24"/>
      <c r="BZ149" s="202"/>
      <c r="CA149" s="191"/>
      <c r="CB149" s="24"/>
      <c r="CC149" s="202"/>
      <c r="CD149" s="191"/>
    </row>
    <row r="150" spans="1:82">
      <c r="A150" s="204">
        <v>36</v>
      </c>
      <c r="B150" s="205">
        <v>45</v>
      </c>
      <c r="C150" s="205">
        <v>60</v>
      </c>
      <c r="D150" s="205">
        <v>4</v>
      </c>
      <c r="E150" s="205">
        <v>3</v>
      </c>
      <c r="F150" s="205">
        <f t="shared" si="18"/>
        <v>3.5</v>
      </c>
      <c r="G150" s="206">
        <v>4</v>
      </c>
      <c r="H150" s="205">
        <v>5.8999999999999997E-2</v>
      </c>
      <c r="I150" s="205">
        <v>22.2</v>
      </c>
      <c r="J150" s="207">
        <f t="shared" si="19"/>
        <v>0.26576576576576577</v>
      </c>
      <c r="K150" s="205">
        <f t="shared" si="20"/>
        <v>1.9135135135135133E-2</v>
      </c>
      <c r="L150" s="205">
        <f t="shared" si="21"/>
        <v>7.3661757434268517E-12</v>
      </c>
      <c r="M150" s="205">
        <f t="shared" si="22"/>
        <v>2597702770.2889414</v>
      </c>
      <c r="N150" s="252">
        <f t="shared" si="23"/>
        <v>2.5977027702889415</v>
      </c>
      <c r="O150" s="207">
        <f t="shared" si="24"/>
        <v>0.26576576576576577</v>
      </c>
      <c r="P150" s="253">
        <f t="shared" si="25"/>
        <v>1.9135135135135133E-2</v>
      </c>
      <c r="Q150" s="254">
        <f t="shared" si="26"/>
        <v>2.5977027702889415</v>
      </c>
      <c r="AF150" s="24"/>
      <c r="AG150" s="202"/>
      <c r="AH150" s="191"/>
      <c r="AI150" s="37"/>
      <c r="AJ150" s="203"/>
      <c r="AK150" s="31"/>
      <c r="AL150" s="24"/>
      <c r="AM150" s="202"/>
      <c r="AN150" s="191"/>
      <c r="AO150" s="37"/>
      <c r="AP150" s="37"/>
      <c r="AQ150" s="37"/>
      <c r="AR150" s="24"/>
      <c r="AS150" s="202"/>
      <c r="AT150" s="191"/>
      <c r="AU150" s="24"/>
      <c r="AV150" s="202"/>
      <c r="AW150" s="191"/>
      <c r="AX150" s="24"/>
      <c r="AY150" s="202"/>
      <c r="AZ150" s="191"/>
      <c r="BA150" s="23"/>
      <c r="BB150" s="23"/>
      <c r="BC150" s="23"/>
      <c r="BD150" s="23"/>
      <c r="BE150" s="23"/>
      <c r="BF150" s="23"/>
      <c r="BG150" s="23"/>
      <c r="BH150" s="23"/>
      <c r="BI150" s="23"/>
      <c r="BJ150" s="24"/>
      <c r="BK150" s="202"/>
      <c r="BL150" s="191"/>
      <c r="BM150" s="37"/>
      <c r="BN150" s="203"/>
      <c r="BO150" s="31"/>
      <c r="BP150" s="24"/>
      <c r="BQ150" s="202"/>
      <c r="BR150" s="191"/>
      <c r="BS150" s="37"/>
      <c r="BT150" s="37"/>
      <c r="BU150" s="37"/>
      <c r="BV150" s="24"/>
      <c r="BW150" s="202"/>
      <c r="BX150" s="191"/>
      <c r="BY150" s="24"/>
      <c r="BZ150" s="202"/>
      <c r="CA150" s="191"/>
      <c r="CB150" s="24"/>
      <c r="CC150" s="202"/>
      <c r="CD150" s="191"/>
    </row>
    <row r="151" spans="1:82">
      <c r="A151" s="81">
        <v>37</v>
      </c>
      <c r="B151" s="82">
        <v>44</v>
      </c>
      <c r="C151" s="82">
        <v>51</v>
      </c>
      <c r="D151" s="82">
        <v>4</v>
      </c>
      <c r="E151" s="82">
        <v>2.5</v>
      </c>
      <c r="F151" s="82">
        <f t="shared" si="18"/>
        <v>3.25</v>
      </c>
      <c r="G151" s="200">
        <v>1</v>
      </c>
      <c r="H151" s="82">
        <v>0.17899999999999999</v>
      </c>
      <c r="I151" s="82">
        <v>18.600000000000001</v>
      </c>
      <c r="J151" s="179">
        <f t="shared" si="19"/>
        <v>0.96236559139784927</v>
      </c>
      <c r="K151" s="82">
        <f t="shared" si="20"/>
        <v>4.2552919354838702E-2</v>
      </c>
      <c r="L151" s="3">
        <f t="shared" si="21"/>
        <v>5.4765031603502276E-12</v>
      </c>
      <c r="M151" s="3">
        <f t="shared" si="22"/>
        <v>7770089436.4347267</v>
      </c>
      <c r="N151" s="29">
        <f t="shared" si="23"/>
        <v>7.770089436434727</v>
      </c>
      <c r="O151" s="30">
        <f t="shared" si="24"/>
        <v>0.96236559139784927</v>
      </c>
      <c r="P151" s="175">
        <f t="shared" si="25"/>
        <v>4.2552919354838702E-2</v>
      </c>
      <c r="Q151" s="26">
        <f t="shared" si="26"/>
        <v>7.770089436434727</v>
      </c>
      <c r="AF151" s="24"/>
      <c r="AG151" s="202"/>
      <c r="AH151" s="191"/>
      <c r="AI151" s="37"/>
      <c r="AJ151" s="203"/>
      <c r="AK151" s="31"/>
      <c r="AL151" s="24"/>
      <c r="AM151" s="202"/>
      <c r="AN151" s="191"/>
      <c r="AO151" s="37"/>
      <c r="AP151" s="37"/>
      <c r="AQ151" s="37"/>
      <c r="AR151" s="24"/>
      <c r="AS151" s="202"/>
      <c r="AT151" s="191"/>
      <c r="AU151" s="24"/>
      <c r="AV151" s="202"/>
      <c r="AW151" s="191"/>
      <c r="AX151" s="24"/>
      <c r="AY151" s="202"/>
      <c r="AZ151" s="191"/>
      <c r="BA151" s="23"/>
      <c r="BB151" s="23"/>
      <c r="BC151" s="23"/>
      <c r="BD151" s="23"/>
      <c r="BE151" s="23"/>
      <c r="BF151" s="23"/>
      <c r="BG151" s="23"/>
      <c r="BH151" s="23"/>
      <c r="BI151" s="23"/>
      <c r="BJ151" s="24"/>
      <c r="BK151" s="202"/>
      <c r="BL151" s="191"/>
      <c r="BM151" s="37"/>
      <c r="BN151" s="203"/>
      <c r="BO151" s="31"/>
      <c r="BP151" s="24"/>
      <c r="BQ151" s="202"/>
      <c r="BR151" s="191"/>
      <c r="BS151" s="37"/>
      <c r="BT151" s="37"/>
      <c r="BU151" s="37"/>
      <c r="BV151" s="24"/>
      <c r="BW151" s="202"/>
      <c r="BX151" s="191"/>
      <c r="BY151" s="24"/>
      <c r="BZ151" s="202"/>
      <c r="CA151" s="191"/>
      <c r="CB151" s="24"/>
      <c r="CC151" s="202"/>
      <c r="CD151" s="191"/>
    </row>
    <row r="152" spans="1:82">
      <c r="A152" s="81">
        <v>37</v>
      </c>
      <c r="B152" s="82">
        <v>44</v>
      </c>
      <c r="C152" s="82">
        <v>51</v>
      </c>
      <c r="D152" s="82">
        <v>4</v>
      </c>
      <c r="E152" s="82">
        <v>2.5</v>
      </c>
      <c r="F152" s="82">
        <f t="shared" si="18"/>
        <v>3.25</v>
      </c>
      <c r="G152" s="200">
        <v>2</v>
      </c>
      <c r="H152" s="82">
        <v>0.19</v>
      </c>
      <c r="I152" s="82">
        <v>18.2</v>
      </c>
      <c r="J152" s="179">
        <f t="shared" si="19"/>
        <v>1.043956043956044</v>
      </c>
      <c r="K152" s="82">
        <f t="shared" si="20"/>
        <v>4.6160604395604397E-2</v>
      </c>
      <c r="L152" s="3">
        <f t="shared" si="21"/>
        <v>5.4765031603502276E-12</v>
      </c>
      <c r="M152" s="3">
        <f t="shared" si="22"/>
        <v>8428846481.7853556</v>
      </c>
      <c r="N152" s="29">
        <f t="shared" si="23"/>
        <v>8.4288464817853548</v>
      </c>
      <c r="O152" s="30">
        <f t="shared" si="24"/>
        <v>1.043956043956044</v>
      </c>
      <c r="P152" s="175">
        <f t="shared" si="25"/>
        <v>4.6160604395604397E-2</v>
      </c>
      <c r="Q152" s="26">
        <f t="shared" si="26"/>
        <v>8.4288464817853548</v>
      </c>
      <c r="AF152" s="24"/>
      <c r="AG152" s="202"/>
      <c r="AH152" s="191"/>
      <c r="AI152" s="37"/>
      <c r="AJ152" s="203"/>
      <c r="AK152" s="31"/>
      <c r="AL152" s="24"/>
      <c r="AM152" s="202"/>
      <c r="AN152" s="191"/>
      <c r="AO152" s="37"/>
      <c r="AP152" s="37"/>
      <c r="AQ152" s="37"/>
      <c r="AR152" s="24"/>
      <c r="AS152" s="202"/>
      <c r="AT152" s="191"/>
      <c r="AU152" s="24"/>
      <c r="AV152" s="202"/>
      <c r="AW152" s="191"/>
      <c r="AX152" s="24"/>
      <c r="AY152" s="202"/>
      <c r="AZ152" s="191"/>
      <c r="BA152" s="23"/>
      <c r="BB152" s="23"/>
      <c r="BC152" s="23"/>
      <c r="BD152" s="23"/>
      <c r="BE152" s="23"/>
      <c r="BF152" s="23"/>
      <c r="BG152" s="23"/>
      <c r="BH152" s="23"/>
      <c r="BI152" s="23"/>
      <c r="BJ152" s="24"/>
      <c r="BK152" s="202"/>
      <c r="BL152" s="191"/>
      <c r="BM152" s="37"/>
      <c r="BN152" s="203"/>
      <c r="BO152" s="31"/>
      <c r="BP152" s="24"/>
      <c r="BQ152" s="202"/>
      <c r="BR152" s="191"/>
      <c r="BS152" s="37"/>
      <c r="BT152" s="37"/>
      <c r="BU152" s="37"/>
      <c r="BV152" s="24"/>
      <c r="BW152" s="202"/>
      <c r="BX152" s="191"/>
      <c r="BY152" s="24"/>
      <c r="BZ152" s="202"/>
      <c r="CA152" s="191"/>
      <c r="CB152" s="24"/>
      <c r="CC152" s="202"/>
      <c r="CD152" s="191"/>
    </row>
    <row r="153" spans="1:82">
      <c r="A153" s="81">
        <v>37</v>
      </c>
      <c r="B153" s="82">
        <v>44</v>
      </c>
      <c r="C153" s="82">
        <v>51</v>
      </c>
      <c r="D153" s="82">
        <v>4</v>
      </c>
      <c r="E153" s="82">
        <v>2.5</v>
      </c>
      <c r="F153" s="82">
        <f t="shared" si="18"/>
        <v>3.25</v>
      </c>
      <c r="G153" s="200">
        <v>3</v>
      </c>
      <c r="H153" s="82">
        <v>0.152</v>
      </c>
      <c r="I153" s="82">
        <v>20</v>
      </c>
      <c r="J153" s="179">
        <f t="shared" si="19"/>
        <v>0.7599999999999999</v>
      </c>
      <c r="K153" s="82">
        <f t="shared" si="20"/>
        <v>3.360491999999999E-2</v>
      </c>
      <c r="L153" s="3">
        <f t="shared" si="21"/>
        <v>5.4765031603502276E-12</v>
      </c>
      <c r="M153" s="3">
        <f t="shared" si="22"/>
        <v>6136200238.7397366</v>
      </c>
      <c r="N153" s="29">
        <f t="shared" si="23"/>
        <v>6.136200238739737</v>
      </c>
      <c r="O153" s="30">
        <f t="shared" si="24"/>
        <v>0.7599999999999999</v>
      </c>
      <c r="P153" s="175">
        <f t="shared" si="25"/>
        <v>3.360491999999999E-2</v>
      </c>
      <c r="Q153" s="26">
        <f t="shared" si="26"/>
        <v>6.136200238739737</v>
      </c>
      <c r="AF153" s="24"/>
      <c r="AG153" s="202"/>
      <c r="AH153" s="191"/>
      <c r="AI153" s="37"/>
      <c r="AJ153" s="203"/>
      <c r="AK153" s="31"/>
      <c r="AL153" s="24"/>
      <c r="AM153" s="202"/>
      <c r="AN153" s="191"/>
      <c r="AO153" s="37"/>
      <c r="AP153" s="37"/>
      <c r="AQ153" s="37"/>
      <c r="AR153" s="24"/>
      <c r="AS153" s="202"/>
      <c r="AT153" s="191"/>
      <c r="AU153" s="24"/>
      <c r="AV153" s="202"/>
      <c r="AW153" s="191"/>
      <c r="AX153" s="24"/>
      <c r="AY153" s="202"/>
      <c r="AZ153" s="191"/>
      <c r="BA153" s="23"/>
      <c r="BB153" s="23"/>
      <c r="BC153" s="23"/>
      <c r="BD153" s="23"/>
      <c r="BE153" s="23"/>
      <c r="BF153" s="23"/>
      <c r="BG153" s="23"/>
      <c r="BH153" s="23"/>
      <c r="BI153" s="23"/>
      <c r="BJ153" s="24"/>
      <c r="BK153" s="202"/>
      <c r="BL153" s="191"/>
      <c r="BM153" s="37"/>
      <c r="BN153" s="203"/>
      <c r="BO153" s="31"/>
      <c r="BP153" s="24"/>
      <c r="BQ153" s="202"/>
      <c r="BR153" s="191"/>
      <c r="BS153" s="37"/>
      <c r="BT153" s="37"/>
      <c r="BU153" s="37"/>
      <c r="BV153" s="24"/>
      <c r="BW153" s="202"/>
      <c r="BX153" s="191"/>
      <c r="BY153" s="24"/>
      <c r="BZ153" s="202"/>
      <c r="CA153" s="191"/>
      <c r="CB153" s="24"/>
      <c r="CC153" s="202"/>
      <c r="CD153" s="191"/>
    </row>
    <row r="154" spans="1:82">
      <c r="A154" s="81">
        <v>37</v>
      </c>
      <c r="B154" s="82">
        <v>44</v>
      </c>
      <c r="C154" s="82">
        <v>51</v>
      </c>
      <c r="D154" s="82">
        <v>4</v>
      </c>
      <c r="E154" s="82">
        <v>2.5</v>
      </c>
      <c r="F154" s="82">
        <f t="shared" si="18"/>
        <v>3.25</v>
      </c>
      <c r="G154" s="200">
        <v>4</v>
      </c>
      <c r="H154" s="82">
        <v>0.192</v>
      </c>
      <c r="I154" s="82">
        <v>18.399999999999999</v>
      </c>
      <c r="J154" s="179">
        <f t="shared" si="19"/>
        <v>1.0434782608695652</v>
      </c>
      <c r="K154" s="82">
        <f t="shared" si="20"/>
        <v>4.613947826086956E-2</v>
      </c>
      <c r="L154" s="3">
        <f t="shared" si="21"/>
        <v>5.4765031603502276E-12</v>
      </c>
      <c r="M154" s="3">
        <f t="shared" si="22"/>
        <v>8424988886.1415167</v>
      </c>
      <c r="N154" s="29">
        <f t="shared" si="23"/>
        <v>8.4249888861415165</v>
      </c>
      <c r="O154" s="30">
        <f t="shared" si="24"/>
        <v>1.0434782608695652</v>
      </c>
      <c r="P154" s="175">
        <f t="shared" si="25"/>
        <v>4.613947826086956E-2</v>
      </c>
      <c r="Q154" s="26">
        <f t="shared" si="26"/>
        <v>8.4249888861415165</v>
      </c>
      <c r="AF154" s="24"/>
      <c r="AG154" s="202"/>
      <c r="AH154" s="191"/>
      <c r="AI154" s="37"/>
      <c r="AJ154" s="203"/>
      <c r="AK154" s="31"/>
      <c r="AL154" s="24"/>
      <c r="AM154" s="202"/>
      <c r="AN154" s="191"/>
      <c r="AO154" s="37"/>
      <c r="AP154" s="37"/>
      <c r="AQ154" s="37"/>
      <c r="AR154" s="24"/>
      <c r="AS154" s="202"/>
      <c r="AT154" s="191"/>
      <c r="AU154" s="24"/>
      <c r="AV154" s="202"/>
      <c r="AW154" s="191"/>
      <c r="AX154" s="24"/>
      <c r="AY154" s="202"/>
      <c r="AZ154" s="191"/>
      <c r="BA154" s="23"/>
      <c r="BB154" s="23"/>
      <c r="BC154" s="23"/>
      <c r="BD154" s="23"/>
      <c r="BE154" s="23"/>
      <c r="BF154" s="23"/>
      <c r="BG154" s="23"/>
      <c r="BH154" s="23"/>
      <c r="BI154" s="23"/>
      <c r="BJ154" s="24"/>
      <c r="BK154" s="202"/>
      <c r="BL154" s="191"/>
      <c r="BM154" s="37"/>
      <c r="BN154" s="203"/>
      <c r="BO154" s="31"/>
      <c r="BP154" s="24"/>
      <c r="BQ154" s="202"/>
      <c r="BR154" s="191"/>
      <c r="BS154" s="37"/>
      <c r="BT154" s="37"/>
      <c r="BU154" s="37"/>
      <c r="BV154" s="24"/>
      <c r="BW154" s="202"/>
      <c r="BX154" s="191"/>
      <c r="BY154" s="24"/>
      <c r="BZ154" s="202"/>
      <c r="CA154" s="191"/>
      <c r="CB154" s="24"/>
      <c r="CC154" s="202"/>
      <c r="CD154" s="191"/>
    </row>
    <row r="155" spans="1:82">
      <c r="A155" s="204">
        <v>38</v>
      </c>
      <c r="B155" s="205">
        <v>46</v>
      </c>
      <c r="C155" s="205">
        <v>49</v>
      </c>
      <c r="D155" s="205">
        <v>3.5</v>
      </c>
      <c r="E155" s="205">
        <v>2.5</v>
      </c>
      <c r="F155" s="205">
        <f t="shared" si="18"/>
        <v>3</v>
      </c>
      <c r="G155" s="206">
        <v>1</v>
      </c>
      <c r="H155" s="205">
        <v>0.127</v>
      </c>
      <c r="I155" s="205">
        <v>19.899999999999999</v>
      </c>
      <c r="J155" s="207">
        <f t="shared" si="19"/>
        <v>0.63819095477386945</v>
      </c>
      <c r="K155" s="205">
        <f t="shared" si="20"/>
        <v>2.5027509212730319E-2</v>
      </c>
      <c r="L155" s="205">
        <f t="shared" si="21"/>
        <v>3.9760782021995822E-12</v>
      </c>
      <c r="M155" s="205">
        <f t="shared" si="22"/>
        <v>6294521370.0487585</v>
      </c>
      <c r="N155" s="252">
        <f t="shared" si="23"/>
        <v>6.2945213700487583</v>
      </c>
      <c r="O155" s="207">
        <f t="shared" si="24"/>
        <v>0.63819095477386945</v>
      </c>
      <c r="P155" s="253">
        <f t="shared" si="25"/>
        <v>2.5027509212730319E-2</v>
      </c>
      <c r="Q155" s="254">
        <f t="shared" si="26"/>
        <v>6.2945213700487583</v>
      </c>
      <c r="AF155" s="24"/>
      <c r="AG155" s="202"/>
      <c r="AH155" s="191"/>
      <c r="AI155" s="37"/>
      <c r="AJ155" s="203"/>
      <c r="AK155" s="31"/>
      <c r="AL155" s="24"/>
      <c r="AM155" s="202"/>
      <c r="AN155" s="191"/>
      <c r="AO155" s="37"/>
      <c r="AP155" s="37"/>
      <c r="AQ155" s="37"/>
      <c r="AR155" s="24"/>
      <c r="AS155" s="202"/>
      <c r="AT155" s="191"/>
      <c r="AU155" s="24"/>
      <c r="AV155" s="202"/>
      <c r="AW155" s="191"/>
      <c r="AX155" s="24"/>
      <c r="AY155" s="202"/>
      <c r="AZ155" s="191"/>
      <c r="BA155" s="23"/>
      <c r="BB155" s="23"/>
      <c r="BC155" s="23"/>
      <c r="BD155" s="23"/>
      <c r="BE155" s="23"/>
      <c r="BF155" s="23"/>
      <c r="BG155" s="23"/>
      <c r="BH155" s="23"/>
      <c r="BI155" s="23"/>
      <c r="BJ155" s="24"/>
      <c r="BK155" s="202"/>
      <c r="BL155" s="191"/>
      <c r="BM155" s="37"/>
      <c r="BN155" s="203"/>
      <c r="BO155" s="31"/>
      <c r="BP155" s="24"/>
      <c r="BQ155" s="202"/>
      <c r="BR155" s="191"/>
      <c r="BS155" s="37"/>
      <c r="BT155" s="37"/>
      <c r="BU155" s="37"/>
      <c r="BV155" s="24"/>
      <c r="BW155" s="202"/>
      <c r="BX155" s="191"/>
      <c r="BY155" s="24"/>
      <c r="BZ155" s="202"/>
      <c r="CA155" s="191"/>
      <c r="CB155" s="24"/>
      <c r="CC155" s="202"/>
      <c r="CD155" s="191"/>
    </row>
    <row r="156" spans="1:82">
      <c r="A156" s="204">
        <v>38</v>
      </c>
      <c r="B156" s="205">
        <v>46</v>
      </c>
      <c r="C156" s="205">
        <v>49</v>
      </c>
      <c r="D156" s="205">
        <v>3.5</v>
      </c>
      <c r="E156" s="205">
        <v>2.5</v>
      </c>
      <c r="F156" s="205">
        <f t="shared" si="18"/>
        <v>3</v>
      </c>
      <c r="G156" s="206">
        <v>2</v>
      </c>
      <c r="H156" s="205">
        <v>6.0999999999999999E-2</v>
      </c>
      <c r="I156" s="205">
        <v>19.5</v>
      </c>
      <c r="J156" s="207">
        <f t="shared" si="19"/>
        <v>0.31282051282051282</v>
      </c>
      <c r="K156" s="205">
        <f t="shared" si="20"/>
        <v>1.2267673504273503E-2</v>
      </c>
      <c r="L156" s="205">
        <f t="shared" si="21"/>
        <v>3.9760782021995822E-12</v>
      </c>
      <c r="M156" s="205">
        <f t="shared" si="22"/>
        <v>3085370277.0450988</v>
      </c>
      <c r="N156" s="252">
        <f t="shared" si="23"/>
        <v>3.0853702770450986</v>
      </c>
      <c r="O156" s="207">
        <f t="shared" si="24"/>
        <v>0.31282051282051282</v>
      </c>
      <c r="P156" s="253">
        <f t="shared" si="25"/>
        <v>1.2267673504273503E-2</v>
      </c>
      <c r="Q156" s="254">
        <f t="shared" si="26"/>
        <v>3.0853702770450986</v>
      </c>
      <c r="AF156" s="24"/>
      <c r="AG156" s="202"/>
      <c r="AH156" s="191"/>
      <c r="AI156" s="37"/>
      <c r="AJ156" s="203"/>
      <c r="AK156" s="31"/>
      <c r="AL156" s="24"/>
      <c r="AM156" s="202"/>
      <c r="AN156" s="191"/>
      <c r="AO156" s="37"/>
      <c r="AP156" s="37"/>
      <c r="AQ156" s="37"/>
      <c r="AR156" s="24"/>
      <c r="AS156" s="202"/>
      <c r="AT156" s="191"/>
      <c r="AU156" s="24"/>
      <c r="AV156" s="202"/>
      <c r="AW156" s="191"/>
      <c r="AX156" s="24"/>
      <c r="AY156" s="202"/>
      <c r="AZ156" s="191"/>
      <c r="BA156" s="23"/>
      <c r="BB156" s="23"/>
      <c r="BC156" s="23"/>
      <c r="BD156" s="23"/>
      <c r="BE156" s="23"/>
      <c r="BF156" s="23"/>
      <c r="BG156" s="23"/>
      <c r="BH156" s="23"/>
      <c r="BI156" s="23"/>
      <c r="BJ156" s="24"/>
      <c r="BK156" s="202"/>
      <c r="BL156" s="191"/>
      <c r="BM156" s="37"/>
      <c r="BN156" s="203"/>
      <c r="BO156" s="31"/>
      <c r="BP156" s="24"/>
      <c r="BQ156" s="202"/>
      <c r="BR156" s="191"/>
      <c r="BS156" s="37"/>
      <c r="BT156" s="37"/>
      <c r="BU156" s="37"/>
      <c r="BV156" s="24"/>
      <c r="BW156" s="202"/>
      <c r="BX156" s="191"/>
      <c r="BY156" s="24"/>
      <c r="BZ156" s="202"/>
      <c r="CA156" s="191"/>
      <c r="CB156" s="24"/>
      <c r="CC156" s="202"/>
      <c r="CD156" s="191"/>
    </row>
    <row r="157" spans="1:82">
      <c r="A157" s="204">
        <v>38</v>
      </c>
      <c r="B157" s="205">
        <v>46</v>
      </c>
      <c r="C157" s="205">
        <v>49</v>
      </c>
      <c r="D157" s="205">
        <v>3.5</v>
      </c>
      <c r="E157" s="205">
        <v>2.5</v>
      </c>
      <c r="F157" s="205">
        <f t="shared" si="18"/>
        <v>3</v>
      </c>
      <c r="G157" s="206">
        <v>3</v>
      </c>
      <c r="H157" s="205">
        <v>4.4999999999999998E-2</v>
      </c>
      <c r="I157" s="205">
        <v>21</v>
      </c>
      <c r="J157" s="207">
        <f t="shared" si="19"/>
        <v>0.21428571428571427</v>
      </c>
      <c r="K157" s="205">
        <f t="shared" si="20"/>
        <v>8.4034999999999995E-3</v>
      </c>
      <c r="L157" s="205">
        <f t="shared" si="21"/>
        <v>3.9760782021995822E-12</v>
      </c>
      <c r="M157" s="205">
        <f t="shared" si="22"/>
        <v>2113514768.2334692</v>
      </c>
      <c r="N157" s="252">
        <f t="shared" si="23"/>
        <v>2.1135147682334692</v>
      </c>
      <c r="O157" s="207">
        <f t="shared" si="24"/>
        <v>0.21428571428571427</v>
      </c>
      <c r="P157" s="253">
        <f t="shared" si="25"/>
        <v>8.4034999999999995E-3</v>
      </c>
      <c r="Q157" s="254">
        <f t="shared" si="26"/>
        <v>2.1135147682334692</v>
      </c>
      <c r="AF157" s="24"/>
      <c r="AG157" s="202"/>
      <c r="AH157" s="191"/>
      <c r="AI157" s="37"/>
      <c r="AJ157" s="203"/>
      <c r="AK157" s="31"/>
      <c r="AL157" s="24"/>
      <c r="AM157" s="202"/>
      <c r="AN157" s="191"/>
      <c r="AO157" s="37"/>
      <c r="AP157" s="37"/>
      <c r="AQ157" s="37"/>
      <c r="AR157" s="24"/>
      <c r="AS157" s="202"/>
      <c r="AT157" s="191"/>
      <c r="AU157" s="24"/>
      <c r="AV157" s="202"/>
      <c r="AW157" s="191"/>
      <c r="AX157" s="24"/>
      <c r="AY157" s="202"/>
      <c r="AZ157" s="191"/>
      <c r="BA157" s="23"/>
      <c r="BB157" s="23"/>
      <c r="BC157" s="23"/>
      <c r="BD157" s="23"/>
      <c r="BE157" s="23"/>
      <c r="BF157" s="23"/>
      <c r="BG157" s="23"/>
      <c r="BH157" s="23"/>
      <c r="BI157" s="23"/>
      <c r="BJ157" s="24"/>
      <c r="BK157" s="202"/>
      <c r="BL157" s="191"/>
      <c r="BM157" s="37"/>
      <c r="BN157" s="203"/>
      <c r="BO157" s="31"/>
      <c r="BP157" s="24"/>
      <c r="BQ157" s="202"/>
      <c r="BR157" s="191"/>
      <c r="BS157" s="37"/>
      <c r="BT157" s="37"/>
      <c r="BU157" s="37"/>
      <c r="BV157" s="24"/>
      <c r="BW157" s="202"/>
      <c r="BX157" s="191"/>
      <c r="BY157" s="24"/>
      <c r="BZ157" s="202"/>
      <c r="CA157" s="191"/>
      <c r="CB157" s="24"/>
      <c r="CC157" s="202"/>
      <c r="CD157" s="191"/>
    </row>
    <row r="158" spans="1:82">
      <c r="A158" s="204">
        <v>38</v>
      </c>
      <c r="B158" s="205">
        <v>46</v>
      </c>
      <c r="C158" s="205">
        <v>49</v>
      </c>
      <c r="D158" s="205">
        <v>3.5</v>
      </c>
      <c r="E158" s="205">
        <v>2.5</v>
      </c>
      <c r="F158" s="205">
        <f t="shared" si="18"/>
        <v>3</v>
      </c>
      <c r="G158" s="206">
        <v>4</v>
      </c>
      <c r="H158" s="205">
        <v>5.6000000000000001E-2</v>
      </c>
      <c r="I158" s="205">
        <v>19.899999999999999</v>
      </c>
      <c r="J158" s="207">
        <f t="shared" si="19"/>
        <v>0.28140703517587945</v>
      </c>
      <c r="K158" s="205">
        <f t="shared" si="20"/>
        <v>1.1035752093802345E-2</v>
      </c>
      <c r="L158" s="205">
        <f t="shared" si="21"/>
        <v>3.9760782021995822E-12</v>
      </c>
      <c r="M158" s="205">
        <f t="shared" si="22"/>
        <v>2775536982.0687437</v>
      </c>
      <c r="N158" s="252">
        <f t="shared" si="23"/>
        <v>2.7755369820687439</v>
      </c>
      <c r="O158" s="207">
        <f t="shared" si="24"/>
        <v>0.28140703517587945</v>
      </c>
      <c r="P158" s="253">
        <f t="shared" si="25"/>
        <v>1.1035752093802345E-2</v>
      </c>
      <c r="Q158" s="254">
        <f t="shared" si="26"/>
        <v>2.7755369820687439</v>
      </c>
      <c r="AF158" s="24"/>
      <c r="AG158" s="202"/>
      <c r="AH158" s="191"/>
      <c r="AI158" s="37"/>
      <c r="AJ158" s="203"/>
      <c r="AK158" s="31"/>
      <c r="AL158" s="24"/>
      <c r="AM158" s="202"/>
      <c r="AN158" s="191"/>
      <c r="AO158" s="37"/>
      <c r="AP158" s="37"/>
      <c r="AQ158" s="37"/>
      <c r="AR158" s="24"/>
      <c r="AS158" s="202"/>
      <c r="AT158" s="191"/>
      <c r="AU158" s="24"/>
      <c r="AV158" s="202"/>
      <c r="AW158" s="191"/>
      <c r="AX158" s="24"/>
      <c r="AY158" s="202"/>
      <c r="AZ158" s="191"/>
      <c r="BA158" s="23"/>
      <c r="BB158" s="23"/>
      <c r="BC158" s="23"/>
      <c r="BD158" s="23"/>
      <c r="BE158" s="23"/>
      <c r="BF158" s="23"/>
      <c r="BG158" s="23"/>
      <c r="BH158" s="23"/>
      <c r="BI158" s="23"/>
      <c r="BJ158" s="24"/>
      <c r="BK158" s="202"/>
      <c r="BL158" s="191"/>
      <c r="BM158" s="37"/>
      <c r="BN158" s="203"/>
      <c r="BO158" s="31"/>
      <c r="BP158" s="24"/>
      <c r="BQ158" s="202"/>
      <c r="BR158" s="191"/>
      <c r="BS158" s="37"/>
      <c r="BT158" s="37"/>
      <c r="BU158" s="37"/>
      <c r="BV158" s="24"/>
      <c r="BW158" s="202"/>
      <c r="BX158" s="191"/>
      <c r="BY158" s="24"/>
      <c r="BZ158" s="202"/>
      <c r="CA158" s="191"/>
      <c r="CB158" s="24"/>
      <c r="CC158" s="202"/>
      <c r="CD158" s="191"/>
    </row>
    <row r="159" spans="1:82">
      <c r="A159" s="81">
        <v>39</v>
      </c>
      <c r="B159" s="82">
        <v>43</v>
      </c>
      <c r="C159" s="82">
        <v>65</v>
      </c>
      <c r="D159" s="82">
        <v>4.5</v>
      </c>
      <c r="E159" s="82">
        <v>2.5</v>
      </c>
      <c r="F159" s="82">
        <f t="shared" si="18"/>
        <v>3.5</v>
      </c>
      <c r="G159" s="200">
        <v>1</v>
      </c>
      <c r="H159" s="82">
        <v>0.107</v>
      </c>
      <c r="I159" s="82">
        <v>23.9</v>
      </c>
      <c r="J159" s="179">
        <f t="shared" si="19"/>
        <v>0.44769874476987448</v>
      </c>
      <c r="K159" s="82">
        <f t="shared" si="20"/>
        <v>4.0983089260808937E-2</v>
      </c>
      <c r="L159" s="3">
        <f t="shared" si="21"/>
        <v>7.3661757434268517E-12</v>
      </c>
      <c r="M159" s="3">
        <f t="shared" si="22"/>
        <v>5563686054.7862806</v>
      </c>
      <c r="N159" s="29">
        <f t="shared" si="23"/>
        <v>5.563686054786281</v>
      </c>
      <c r="O159" s="30">
        <f t="shared" si="24"/>
        <v>0.44769874476987448</v>
      </c>
      <c r="P159" s="175">
        <f t="shared" si="25"/>
        <v>4.0983089260808937E-2</v>
      </c>
      <c r="Q159" s="26">
        <f t="shared" si="26"/>
        <v>5.563686054786281</v>
      </c>
      <c r="AF159" s="24"/>
      <c r="AG159" s="202"/>
      <c r="AH159" s="191"/>
      <c r="AI159" s="37"/>
      <c r="AJ159" s="203"/>
      <c r="AK159" s="31"/>
      <c r="AL159" s="24"/>
      <c r="AM159" s="202"/>
      <c r="AN159" s="191"/>
      <c r="AO159" s="37"/>
      <c r="AP159" s="37"/>
      <c r="AQ159" s="37"/>
      <c r="AR159" s="24"/>
      <c r="AS159" s="202"/>
      <c r="AT159" s="191"/>
      <c r="AU159" s="24"/>
      <c r="AV159" s="202"/>
      <c r="AW159" s="191"/>
      <c r="AX159" s="24"/>
      <c r="AY159" s="202"/>
      <c r="AZ159" s="191"/>
      <c r="BA159" s="23"/>
      <c r="BB159" s="23"/>
      <c r="BC159" s="23"/>
      <c r="BD159" s="23"/>
      <c r="BE159" s="23"/>
      <c r="BF159" s="23"/>
      <c r="BG159" s="23"/>
      <c r="BH159" s="23"/>
      <c r="BI159" s="23"/>
      <c r="BJ159" s="24"/>
      <c r="BK159" s="202"/>
      <c r="BL159" s="191"/>
      <c r="BM159" s="37"/>
      <c r="BN159" s="203"/>
      <c r="BO159" s="31"/>
      <c r="BP159" s="24"/>
      <c r="BQ159" s="202"/>
      <c r="BR159" s="191"/>
      <c r="BS159" s="37"/>
      <c r="BT159" s="37"/>
      <c r="BU159" s="37"/>
      <c r="BV159" s="24"/>
      <c r="BW159" s="202"/>
      <c r="BX159" s="191"/>
      <c r="BY159" s="24"/>
      <c r="BZ159" s="202"/>
      <c r="CA159" s="191"/>
      <c r="CB159" s="24"/>
      <c r="CC159" s="202"/>
      <c r="CD159" s="191"/>
    </row>
    <row r="160" spans="1:82">
      <c r="A160" s="81">
        <v>39</v>
      </c>
      <c r="B160" s="82">
        <v>43</v>
      </c>
      <c r="C160" s="82">
        <v>65</v>
      </c>
      <c r="D160" s="82">
        <v>4.5</v>
      </c>
      <c r="E160" s="82">
        <v>2.5</v>
      </c>
      <c r="F160" s="82">
        <f t="shared" si="18"/>
        <v>3.5</v>
      </c>
      <c r="G160" s="200">
        <v>2</v>
      </c>
      <c r="H160" s="82">
        <v>0.15</v>
      </c>
      <c r="I160" s="82">
        <v>24.4</v>
      </c>
      <c r="J160" s="179">
        <f t="shared" si="19"/>
        <v>0.61475409836065575</v>
      </c>
      <c r="K160" s="82">
        <f t="shared" si="20"/>
        <v>5.6275614754098376E-2</v>
      </c>
      <c r="L160" s="3">
        <f t="shared" si="21"/>
        <v>7.3661757434268517E-12</v>
      </c>
      <c r="M160" s="3">
        <f t="shared" si="22"/>
        <v>7639732842.9633884</v>
      </c>
      <c r="N160" s="29">
        <f t="shared" si="23"/>
        <v>7.6397328429633884</v>
      </c>
      <c r="O160" s="30">
        <f t="shared" si="24"/>
        <v>0.61475409836065575</v>
      </c>
      <c r="P160" s="175">
        <f t="shared" si="25"/>
        <v>5.6275614754098376E-2</v>
      </c>
      <c r="Q160" s="26">
        <f t="shared" si="26"/>
        <v>7.6397328429633884</v>
      </c>
      <c r="AF160" s="24"/>
      <c r="AG160" s="202"/>
      <c r="AH160" s="191"/>
      <c r="AI160" s="37"/>
      <c r="AJ160" s="203"/>
      <c r="AK160" s="31"/>
      <c r="AL160" s="24"/>
      <c r="AM160" s="202"/>
      <c r="AN160" s="191"/>
      <c r="AO160" s="37"/>
      <c r="AP160" s="37"/>
      <c r="AQ160" s="37"/>
      <c r="AR160" s="24"/>
      <c r="AS160" s="202"/>
      <c r="AT160" s="191"/>
      <c r="AU160" s="24"/>
      <c r="AV160" s="202"/>
      <c r="AW160" s="191"/>
      <c r="AX160" s="24"/>
      <c r="AY160" s="202"/>
      <c r="AZ160" s="191"/>
      <c r="BA160" s="23"/>
      <c r="BB160" s="23"/>
      <c r="BC160" s="23"/>
      <c r="BD160" s="23"/>
      <c r="BE160" s="23"/>
      <c r="BF160" s="23"/>
      <c r="BG160" s="23"/>
      <c r="BH160" s="23"/>
      <c r="BI160" s="23"/>
      <c r="BJ160" s="24"/>
      <c r="BK160" s="202"/>
      <c r="BL160" s="191"/>
      <c r="BM160" s="37"/>
      <c r="BN160" s="203"/>
      <c r="BO160" s="31"/>
      <c r="BP160" s="24"/>
      <c r="BQ160" s="202"/>
      <c r="BR160" s="191"/>
      <c r="BS160" s="37"/>
      <c r="BT160" s="37"/>
      <c r="BU160" s="37"/>
      <c r="BV160" s="24"/>
      <c r="BW160" s="202"/>
      <c r="BX160" s="191"/>
      <c r="BY160" s="24"/>
      <c r="BZ160" s="202"/>
      <c r="CA160" s="191"/>
      <c r="CB160" s="24"/>
      <c r="CC160" s="202"/>
      <c r="CD160" s="191"/>
    </row>
    <row r="161" spans="1:82">
      <c r="A161" s="81">
        <v>39</v>
      </c>
      <c r="B161" s="82">
        <v>43</v>
      </c>
      <c r="C161" s="82">
        <v>65</v>
      </c>
      <c r="D161" s="82">
        <v>4.5</v>
      </c>
      <c r="E161" s="82">
        <v>2.5</v>
      </c>
      <c r="F161" s="82">
        <f t="shared" si="18"/>
        <v>3.5</v>
      </c>
      <c r="G161" s="200">
        <v>3</v>
      </c>
      <c r="H161" s="82">
        <v>0.04</v>
      </c>
      <c r="I161" s="82">
        <v>25.2</v>
      </c>
      <c r="J161" s="179">
        <f t="shared" si="19"/>
        <v>0.15873015873015872</v>
      </c>
      <c r="K161" s="82">
        <f t="shared" si="20"/>
        <v>1.4530423280423282E-2</v>
      </c>
      <c r="L161" s="3">
        <f t="shared" si="21"/>
        <v>7.3661757434268517E-12</v>
      </c>
      <c r="M161" s="3">
        <f t="shared" si="22"/>
        <v>1972587104.4265256</v>
      </c>
      <c r="N161" s="29">
        <f t="shared" si="23"/>
        <v>1.9725871044265255</v>
      </c>
      <c r="O161" s="30">
        <f t="shared" si="24"/>
        <v>0.15873015873015872</v>
      </c>
      <c r="P161" s="175">
        <f t="shared" si="25"/>
        <v>1.4530423280423282E-2</v>
      </c>
      <c r="Q161" s="26">
        <f t="shared" si="26"/>
        <v>1.9725871044265255</v>
      </c>
      <c r="AF161" s="24"/>
      <c r="AG161" s="202"/>
      <c r="AH161" s="191"/>
      <c r="AI161" s="37"/>
      <c r="AJ161" s="203"/>
      <c r="AK161" s="31"/>
      <c r="AL161" s="24"/>
      <c r="AM161" s="202"/>
      <c r="AN161" s="191"/>
      <c r="AO161" s="37"/>
      <c r="AP161" s="37"/>
      <c r="AQ161" s="37"/>
      <c r="AR161" s="24"/>
      <c r="AS161" s="202"/>
      <c r="AT161" s="191"/>
      <c r="AU161" s="24"/>
      <c r="AV161" s="202"/>
      <c r="AW161" s="191"/>
      <c r="AX161" s="24"/>
      <c r="AY161" s="202"/>
      <c r="AZ161" s="191"/>
      <c r="BA161" s="23"/>
      <c r="BB161" s="23"/>
      <c r="BC161" s="23"/>
      <c r="BD161" s="23"/>
      <c r="BE161" s="23"/>
      <c r="BF161" s="23"/>
      <c r="BG161" s="23"/>
      <c r="BH161" s="23"/>
      <c r="BI161" s="23"/>
      <c r="BJ161" s="24"/>
      <c r="BK161" s="202"/>
      <c r="BL161" s="191"/>
      <c r="BM161" s="37"/>
      <c r="BN161" s="203"/>
      <c r="BO161" s="31"/>
      <c r="BP161" s="24"/>
      <c r="BQ161" s="202"/>
      <c r="BR161" s="191"/>
      <c r="BS161" s="37"/>
      <c r="BT161" s="37"/>
      <c r="BU161" s="37"/>
      <c r="BV161" s="24"/>
      <c r="BW161" s="202"/>
      <c r="BX161" s="191"/>
      <c r="BY161" s="24"/>
      <c r="BZ161" s="202"/>
      <c r="CA161" s="191"/>
      <c r="CB161" s="24"/>
      <c r="CC161" s="202"/>
      <c r="CD161" s="191"/>
    </row>
    <row r="162" spans="1:82">
      <c r="A162" s="81">
        <v>39</v>
      </c>
      <c r="B162" s="82">
        <v>43</v>
      </c>
      <c r="C162" s="82">
        <v>65</v>
      </c>
      <c r="D162" s="82">
        <v>4.5</v>
      </c>
      <c r="E162" s="82">
        <v>2.5</v>
      </c>
      <c r="F162" s="82">
        <f t="shared" si="18"/>
        <v>3.5</v>
      </c>
      <c r="G162" s="200">
        <v>4</v>
      </c>
      <c r="H162" s="82">
        <v>4.4999999999999998E-2</v>
      </c>
      <c r="I162" s="82">
        <v>24.3</v>
      </c>
      <c r="J162" s="179">
        <f t="shared" si="19"/>
        <v>0.18518518518518517</v>
      </c>
      <c r="K162" s="82">
        <f t="shared" si="20"/>
        <v>1.6952160493827164E-2</v>
      </c>
      <c r="L162" s="3">
        <f t="shared" si="21"/>
        <v>7.3661757434268517E-12</v>
      </c>
      <c r="M162" s="3">
        <f t="shared" si="22"/>
        <v>2301351621.8309464</v>
      </c>
      <c r="N162" s="29">
        <f t="shared" si="23"/>
        <v>2.3013516218309467</v>
      </c>
      <c r="O162" s="30">
        <f t="shared" si="24"/>
        <v>0.18518518518518517</v>
      </c>
      <c r="P162" s="175">
        <f t="shared" si="25"/>
        <v>1.6952160493827164E-2</v>
      </c>
      <c r="Q162" s="26">
        <f t="shared" si="26"/>
        <v>2.3013516218309467</v>
      </c>
      <c r="AF162" s="24"/>
      <c r="AG162" s="202"/>
      <c r="AH162" s="191"/>
      <c r="AI162" s="37"/>
      <c r="AJ162" s="203"/>
      <c r="AK162" s="31"/>
      <c r="AL162" s="24"/>
      <c r="AM162" s="202"/>
      <c r="AN162" s="191"/>
      <c r="AO162" s="37"/>
      <c r="AP162" s="37"/>
      <c r="AQ162" s="37"/>
      <c r="AR162" s="24"/>
      <c r="AS162" s="202"/>
      <c r="AT162" s="191"/>
      <c r="AU162" s="24"/>
      <c r="AV162" s="202"/>
      <c r="AW162" s="191"/>
      <c r="AX162" s="24"/>
      <c r="AY162" s="202"/>
      <c r="AZ162" s="191"/>
      <c r="BA162" s="23"/>
      <c r="BB162" s="23"/>
      <c r="BC162" s="23"/>
      <c r="BD162" s="23"/>
      <c r="BE162" s="23"/>
      <c r="BF162" s="23"/>
      <c r="BG162" s="23"/>
      <c r="BH162" s="23"/>
      <c r="BI162" s="23"/>
      <c r="BJ162" s="24"/>
      <c r="BK162" s="202"/>
      <c r="BL162" s="191"/>
      <c r="BM162" s="37"/>
      <c r="BN162" s="203"/>
      <c r="BO162" s="31"/>
      <c r="BP162" s="24"/>
      <c r="BQ162" s="202"/>
      <c r="BR162" s="191"/>
      <c r="BS162" s="37"/>
      <c r="BT162" s="37"/>
      <c r="BU162" s="37"/>
      <c r="BV162" s="24"/>
      <c r="BW162" s="202"/>
      <c r="BX162" s="191"/>
      <c r="BY162" s="24"/>
      <c r="BZ162" s="202"/>
      <c r="CA162" s="191"/>
      <c r="CB162" s="24"/>
      <c r="CC162" s="202"/>
      <c r="CD162" s="191"/>
    </row>
    <row r="163" spans="1:82">
      <c r="A163" s="204">
        <v>40</v>
      </c>
      <c r="B163" s="205">
        <v>40</v>
      </c>
      <c r="C163" s="205">
        <v>59</v>
      </c>
      <c r="D163" s="205">
        <v>4</v>
      </c>
      <c r="E163" s="205">
        <v>3</v>
      </c>
      <c r="F163" s="205">
        <f t="shared" si="18"/>
        <v>3.5</v>
      </c>
      <c r="G163" s="206">
        <v>1</v>
      </c>
      <c r="H163" s="205">
        <v>0.109</v>
      </c>
      <c r="I163" s="205">
        <v>21.8</v>
      </c>
      <c r="J163" s="207">
        <f t="shared" si="19"/>
        <v>0.5</v>
      </c>
      <c r="K163" s="205">
        <f t="shared" si="20"/>
        <v>3.4229833333333327E-2</v>
      </c>
      <c r="L163" s="205">
        <f t="shared" si="21"/>
        <v>7.3661757434268517E-12</v>
      </c>
      <c r="M163" s="205">
        <f t="shared" si="22"/>
        <v>4646893384.7903433</v>
      </c>
      <c r="N163" s="252">
        <f t="shared" si="23"/>
        <v>4.6468933847903431</v>
      </c>
      <c r="O163" s="207">
        <f t="shared" si="24"/>
        <v>0.5</v>
      </c>
      <c r="P163" s="253">
        <f t="shared" si="25"/>
        <v>3.4229833333333327E-2</v>
      </c>
      <c r="Q163" s="254">
        <f t="shared" si="26"/>
        <v>4.6468933847903431</v>
      </c>
      <c r="AF163" s="24"/>
      <c r="AG163" s="202"/>
      <c r="AH163" s="191"/>
      <c r="AI163" s="37"/>
      <c r="AJ163" s="203"/>
      <c r="AK163" s="31"/>
      <c r="AL163" s="24"/>
      <c r="AM163" s="202"/>
      <c r="AN163" s="191"/>
      <c r="AO163" s="37"/>
      <c r="AP163" s="37"/>
      <c r="AQ163" s="37"/>
      <c r="AR163" s="24"/>
      <c r="AS163" s="202"/>
      <c r="AT163" s="191"/>
      <c r="AU163" s="24"/>
      <c r="AV163" s="202"/>
      <c r="AW163" s="191"/>
      <c r="AX163" s="24"/>
      <c r="AY163" s="202"/>
      <c r="AZ163" s="191"/>
      <c r="BA163" s="23"/>
      <c r="BB163" s="23"/>
      <c r="BC163" s="23"/>
      <c r="BD163" s="23"/>
      <c r="BE163" s="23"/>
      <c r="BF163" s="23"/>
      <c r="BG163" s="23"/>
      <c r="BH163" s="23"/>
      <c r="BI163" s="23"/>
      <c r="BJ163" s="24"/>
      <c r="BK163" s="202"/>
      <c r="BL163" s="191"/>
      <c r="BM163" s="37"/>
      <c r="BN163" s="203"/>
      <c r="BO163" s="31"/>
      <c r="BP163" s="24"/>
      <c r="BQ163" s="202"/>
      <c r="BR163" s="191"/>
      <c r="BS163" s="37"/>
      <c r="BT163" s="37"/>
      <c r="BU163" s="37"/>
      <c r="BV163" s="24"/>
      <c r="BW163" s="202"/>
      <c r="BX163" s="191"/>
      <c r="BY163" s="24"/>
      <c r="BZ163" s="202"/>
      <c r="CA163" s="191"/>
      <c r="CB163" s="24"/>
      <c r="CC163" s="202"/>
      <c r="CD163" s="191"/>
    </row>
    <row r="164" spans="1:82">
      <c r="A164" s="204">
        <v>40</v>
      </c>
      <c r="B164" s="205">
        <v>40</v>
      </c>
      <c r="C164" s="205">
        <v>59</v>
      </c>
      <c r="D164" s="205">
        <v>4</v>
      </c>
      <c r="E164" s="205">
        <v>3</v>
      </c>
      <c r="F164" s="205">
        <f t="shared" si="18"/>
        <v>3.5</v>
      </c>
      <c r="G164" s="206">
        <v>2</v>
      </c>
      <c r="H164" s="205">
        <v>4.9000000000000002E-2</v>
      </c>
      <c r="I164" s="205">
        <v>23</v>
      </c>
      <c r="J164" s="207">
        <f t="shared" si="19"/>
        <v>0.21304347826086956</v>
      </c>
      <c r="K164" s="205">
        <f t="shared" si="20"/>
        <v>1.4584885507246376E-2</v>
      </c>
      <c r="L164" s="205">
        <f t="shared" si="21"/>
        <v>7.3661757434268517E-12</v>
      </c>
      <c r="M164" s="205">
        <f t="shared" si="22"/>
        <v>1979980659.6063204</v>
      </c>
      <c r="N164" s="252">
        <f t="shared" si="23"/>
        <v>1.9799806596063203</v>
      </c>
      <c r="O164" s="207">
        <f t="shared" si="24"/>
        <v>0.21304347826086956</v>
      </c>
      <c r="P164" s="253">
        <f t="shared" si="25"/>
        <v>1.4584885507246376E-2</v>
      </c>
      <c r="Q164" s="254">
        <f t="shared" si="26"/>
        <v>1.9799806596063203</v>
      </c>
      <c r="AF164" s="24"/>
      <c r="AG164" s="202"/>
      <c r="AH164" s="191"/>
      <c r="AI164" s="37"/>
      <c r="AJ164" s="203"/>
      <c r="AK164" s="31"/>
      <c r="AL164" s="24"/>
      <c r="AM164" s="202"/>
      <c r="AN164" s="191"/>
      <c r="AO164" s="37"/>
      <c r="AP164" s="37"/>
      <c r="AQ164" s="37"/>
      <c r="AR164" s="24"/>
      <c r="AS164" s="202"/>
      <c r="AT164" s="191"/>
      <c r="AU164" s="24"/>
      <c r="AV164" s="202"/>
      <c r="AW164" s="191"/>
      <c r="AX164" s="24"/>
      <c r="AY164" s="202"/>
      <c r="AZ164" s="191"/>
      <c r="BA164" s="23"/>
      <c r="BB164" s="23"/>
      <c r="BC164" s="23"/>
      <c r="BD164" s="23"/>
      <c r="BE164" s="23"/>
      <c r="BF164" s="23"/>
      <c r="BG164" s="23"/>
      <c r="BH164" s="23"/>
      <c r="BI164" s="23"/>
      <c r="BJ164" s="24"/>
      <c r="BK164" s="202"/>
      <c r="BL164" s="191"/>
      <c r="BM164" s="37"/>
      <c r="BN164" s="203"/>
      <c r="BO164" s="31"/>
      <c r="BP164" s="24"/>
      <c r="BQ164" s="202"/>
      <c r="BR164" s="191"/>
      <c r="BS164" s="37"/>
      <c r="BT164" s="37"/>
      <c r="BU164" s="37"/>
      <c r="BV164" s="24"/>
      <c r="BW164" s="202"/>
      <c r="BX164" s="191"/>
      <c r="BY164" s="24"/>
      <c r="BZ164" s="202"/>
      <c r="CA164" s="191"/>
      <c r="CB164" s="24"/>
      <c r="CC164" s="202"/>
      <c r="CD164" s="191"/>
    </row>
    <row r="165" spans="1:82">
      <c r="A165" s="204">
        <v>40</v>
      </c>
      <c r="B165" s="205">
        <v>40</v>
      </c>
      <c r="C165" s="205">
        <v>59</v>
      </c>
      <c r="D165" s="205">
        <v>4</v>
      </c>
      <c r="E165" s="205">
        <v>3</v>
      </c>
      <c r="F165" s="205">
        <f t="shared" si="18"/>
        <v>3.5</v>
      </c>
      <c r="G165" s="206">
        <v>3</v>
      </c>
      <c r="H165" s="205">
        <v>8.2000000000000003E-2</v>
      </c>
      <c r="I165" s="205">
        <v>22.1</v>
      </c>
      <c r="J165" s="207">
        <f t="shared" si="19"/>
        <v>0.37104072398190041</v>
      </c>
      <c r="K165" s="205">
        <f t="shared" si="20"/>
        <v>2.5401324283559571E-2</v>
      </c>
      <c r="L165" s="205">
        <f t="shared" si="21"/>
        <v>7.3661757434268517E-12</v>
      </c>
      <c r="M165" s="205">
        <f t="shared" si="22"/>
        <v>3448373371.5186257</v>
      </c>
      <c r="N165" s="252">
        <f t="shared" si="23"/>
        <v>3.4483733715186258</v>
      </c>
      <c r="O165" s="207">
        <f t="shared" si="24"/>
        <v>0.37104072398190041</v>
      </c>
      <c r="P165" s="253">
        <f t="shared" si="25"/>
        <v>2.5401324283559571E-2</v>
      </c>
      <c r="Q165" s="254">
        <f t="shared" si="26"/>
        <v>3.4483733715186258</v>
      </c>
      <c r="AF165" s="24"/>
      <c r="AG165" s="202"/>
      <c r="AH165" s="191"/>
      <c r="AI165" s="37"/>
      <c r="AJ165" s="203"/>
      <c r="AK165" s="31"/>
      <c r="AL165" s="24"/>
      <c r="AM165" s="202"/>
      <c r="AN165" s="191"/>
      <c r="AO165" s="37"/>
      <c r="AP165" s="37"/>
      <c r="AQ165" s="37"/>
      <c r="AR165" s="24"/>
      <c r="AS165" s="202"/>
      <c r="AT165" s="191"/>
      <c r="AU165" s="24"/>
      <c r="AV165" s="202"/>
      <c r="AW165" s="191"/>
      <c r="AX165" s="24"/>
      <c r="AY165" s="202"/>
      <c r="AZ165" s="191"/>
      <c r="BA165" s="23"/>
      <c r="BB165" s="23"/>
      <c r="BC165" s="23"/>
      <c r="BD165" s="23"/>
      <c r="BE165" s="23"/>
      <c r="BF165" s="23"/>
      <c r="BG165" s="23"/>
      <c r="BH165" s="23"/>
      <c r="BI165" s="23"/>
      <c r="BJ165" s="24"/>
      <c r="BK165" s="202"/>
      <c r="BL165" s="191"/>
      <c r="BM165" s="37"/>
      <c r="BN165" s="203"/>
      <c r="BO165" s="31"/>
      <c r="BP165" s="24"/>
      <c r="BQ165" s="202"/>
      <c r="BR165" s="191"/>
      <c r="BS165" s="37"/>
      <c r="BT165" s="37"/>
      <c r="BU165" s="37"/>
      <c r="BV165" s="24"/>
      <c r="BW165" s="202"/>
      <c r="BX165" s="191"/>
      <c r="BY165" s="24"/>
      <c r="BZ165" s="202"/>
      <c r="CA165" s="191"/>
      <c r="CB165" s="24"/>
      <c r="CC165" s="202"/>
      <c r="CD165" s="191"/>
    </row>
    <row r="166" spans="1:82">
      <c r="A166" s="204">
        <v>40</v>
      </c>
      <c r="B166" s="205">
        <v>40</v>
      </c>
      <c r="C166" s="205">
        <v>59</v>
      </c>
      <c r="D166" s="205">
        <v>4</v>
      </c>
      <c r="E166" s="205">
        <v>3</v>
      </c>
      <c r="F166" s="205">
        <f t="shared" si="18"/>
        <v>3.5</v>
      </c>
      <c r="G166" s="206">
        <v>4</v>
      </c>
      <c r="H166" s="205">
        <v>9.0999999999999998E-2</v>
      </c>
      <c r="I166" s="205">
        <v>22.6</v>
      </c>
      <c r="J166" s="207">
        <f t="shared" si="19"/>
        <v>0.40265486725663713</v>
      </c>
      <c r="K166" s="205">
        <f t="shared" si="20"/>
        <v>2.7565617994100289E-2</v>
      </c>
      <c r="L166" s="205">
        <f t="shared" si="21"/>
        <v>7.3661757434268517E-12</v>
      </c>
      <c r="M166" s="205">
        <f t="shared" si="22"/>
        <v>3742188478.0170021</v>
      </c>
      <c r="N166" s="252">
        <f t="shared" si="23"/>
        <v>3.7421884780170021</v>
      </c>
      <c r="O166" s="207">
        <f t="shared" si="24"/>
        <v>0.40265486725663713</v>
      </c>
      <c r="P166" s="253">
        <f t="shared" si="25"/>
        <v>2.7565617994100289E-2</v>
      </c>
      <c r="Q166" s="254">
        <f t="shared" si="26"/>
        <v>3.7421884780170021</v>
      </c>
      <c r="AF166" s="24"/>
      <c r="AG166" s="202"/>
      <c r="AH166" s="191"/>
      <c r="AI166" s="37"/>
      <c r="AJ166" s="203"/>
      <c r="AK166" s="31"/>
      <c r="AL166" s="24"/>
      <c r="AM166" s="202"/>
      <c r="AN166" s="191"/>
      <c r="AO166" s="37"/>
      <c r="AP166" s="37"/>
      <c r="AQ166" s="37"/>
      <c r="AR166" s="24"/>
      <c r="AS166" s="202"/>
      <c r="AT166" s="191"/>
      <c r="AU166" s="24"/>
      <c r="AV166" s="202"/>
      <c r="AW166" s="191"/>
      <c r="AX166" s="24"/>
      <c r="AY166" s="202"/>
      <c r="AZ166" s="191"/>
      <c r="BA166" s="23"/>
      <c r="BB166" s="23"/>
      <c r="BC166" s="23"/>
      <c r="BD166" s="23"/>
      <c r="BE166" s="23"/>
      <c r="BF166" s="23"/>
      <c r="BG166" s="23"/>
      <c r="BH166" s="23"/>
      <c r="BI166" s="23"/>
      <c r="BJ166" s="24"/>
      <c r="BK166" s="202"/>
      <c r="BL166" s="191"/>
      <c r="BM166" s="37"/>
      <c r="BN166" s="203"/>
      <c r="BO166" s="31"/>
      <c r="BP166" s="24"/>
      <c r="BQ166" s="202"/>
      <c r="BR166" s="191"/>
      <c r="BS166" s="37"/>
      <c r="BT166" s="37"/>
      <c r="BU166" s="37"/>
      <c r="BV166" s="24"/>
      <c r="BW166" s="202"/>
      <c r="BX166" s="191"/>
      <c r="BY166" s="24"/>
      <c r="BZ166" s="202"/>
      <c r="CA166" s="191"/>
      <c r="CB166" s="24"/>
      <c r="CC166" s="202"/>
      <c r="CD166" s="191"/>
    </row>
    <row r="167" spans="1:82">
      <c r="A167" s="81">
        <v>41</v>
      </c>
      <c r="B167" s="82">
        <v>34</v>
      </c>
      <c r="C167" s="82">
        <v>44</v>
      </c>
      <c r="D167" s="82">
        <v>3.5</v>
      </c>
      <c r="E167" s="82">
        <v>3</v>
      </c>
      <c r="F167" s="82">
        <f t="shared" si="18"/>
        <v>3.25</v>
      </c>
      <c r="G167" s="200">
        <v>1</v>
      </c>
      <c r="H167" s="82">
        <v>0.11899999999999999</v>
      </c>
      <c r="I167" s="82">
        <v>16.399999999999999</v>
      </c>
      <c r="J167" s="179">
        <f t="shared" si="19"/>
        <v>0.72560975609756106</v>
      </c>
      <c r="K167" s="82">
        <f t="shared" si="20"/>
        <v>2.0603447154471547E-2</v>
      </c>
      <c r="L167" s="3">
        <f t="shared" si="21"/>
        <v>5.4765031603502276E-12</v>
      </c>
      <c r="M167" s="3">
        <f t="shared" si="22"/>
        <v>3762153796.1741881</v>
      </c>
      <c r="N167" s="29">
        <f t="shared" si="23"/>
        <v>3.762153796174188</v>
      </c>
      <c r="O167" s="30">
        <f t="shared" si="24"/>
        <v>0.72560975609756106</v>
      </c>
      <c r="P167" s="175">
        <f t="shared" si="25"/>
        <v>2.0603447154471547E-2</v>
      </c>
      <c r="Q167" s="26">
        <f t="shared" si="26"/>
        <v>3.762153796174188</v>
      </c>
      <c r="AF167" s="24"/>
      <c r="AG167" s="202"/>
      <c r="AH167" s="191"/>
      <c r="AI167" s="37"/>
      <c r="AJ167" s="203"/>
      <c r="AK167" s="31"/>
      <c r="AL167" s="24"/>
      <c r="AM167" s="202"/>
      <c r="AN167" s="191"/>
      <c r="AO167" s="37"/>
      <c r="AP167" s="37"/>
      <c r="AQ167" s="37"/>
      <c r="AR167" s="24"/>
      <c r="AS167" s="202"/>
      <c r="AT167" s="191"/>
      <c r="AU167" s="24"/>
      <c r="AV167" s="202"/>
      <c r="AW167" s="191"/>
      <c r="AX167" s="24"/>
      <c r="AY167" s="202"/>
      <c r="AZ167" s="191"/>
      <c r="BA167" s="23"/>
      <c r="BB167" s="23"/>
      <c r="BC167" s="23"/>
      <c r="BD167" s="23"/>
      <c r="BE167" s="23"/>
      <c r="BF167" s="23"/>
      <c r="BG167" s="23"/>
      <c r="BH167" s="23"/>
      <c r="BI167" s="23"/>
      <c r="BJ167" s="24"/>
      <c r="BK167" s="202"/>
      <c r="BL167" s="191"/>
      <c r="BM167" s="37"/>
      <c r="BN167" s="203"/>
      <c r="BO167" s="31"/>
      <c r="BP167" s="24"/>
      <c r="BQ167" s="202"/>
      <c r="BR167" s="191"/>
      <c r="BS167" s="37"/>
      <c r="BT167" s="37"/>
      <c r="BU167" s="37"/>
      <c r="BV167" s="24"/>
      <c r="BW167" s="202"/>
      <c r="BX167" s="191"/>
      <c r="BY167" s="24"/>
      <c r="BZ167" s="202"/>
      <c r="CA167" s="191"/>
      <c r="CB167" s="24"/>
      <c r="CC167" s="202"/>
      <c r="CD167" s="191"/>
    </row>
    <row r="168" spans="1:82">
      <c r="A168" s="81">
        <v>41</v>
      </c>
      <c r="B168" s="82">
        <v>34</v>
      </c>
      <c r="C168" s="82">
        <v>44</v>
      </c>
      <c r="D168" s="82">
        <v>3.5</v>
      </c>
      <c r="E168" s="82">
        <v>3</v>
      </c>
      <c r="F168" s="82">
        <f t="shared" si="18"/>
        <v>3.25</v>
      </c>
      <c r="G168" s="200">
        <v>2</v>
      </c>
      <c r="H168" s="82">
        <v>7.5999999999999998E-2</v>
      </c>
      <c r="I168" s="82">
        <v>18</v>
      </c>
      <c r="J168" s="179">
        <f t="shared" si="19"/>
        <v>0.42222222222222222</v>
      </c>
      <c r="K168" s="82">
        <f t="shared" si="20"/>
        <v>1.1988859259259259E-2</v>
      </c>
      <c r="L168" s="3">
        <f t="shared" si="21"/>
        <v>5.4765031603502276E-12</v>
      </c>
      <c r="M168" s="3">
        <f t="shared" si="22"/>
        <v>2189144954.0389857</v>
      </c>
      <c r="N168" s="29">
        <f t="shared" si="23"/>
        <v>2.1891449540389858</v>
      </c>
      <c r="O168" s="30">
        <f t="shared" si="24"/>
        <v>0.42222222222222222</v>
      </c>
      <c r="P168" s="175">
        <f t="shared" si="25"/>
        <v>1.1988859259259259E-2</v>
      </c>
      <c r="Q168" s="26">
        <f t="shared" si="26"/>
        <v>2.1891449540389858</v>
      </c>
      <c r="AF168" s="24"/>
      <c r="AG168" s="202"/>
      <c r="AH168" s="191"/>
      <c r="AI168" s="37"/>
      <c r="AJ168" s="203"/>
      <c r="AK168" s="31"/>
      <c r="AL168" s="24"/>
      <c r="AM168" s="202"/>
      <c r="AN168" s="191"/>
      <c r="AO168" s="37"/>
      <c r="AP168" s="37"/>
      <c r="AQ168" s="37"/>
      <c r="AR168" s="24"/>
      <c r="AS168" s="202"/>
      <c r="AT168" s="191"/>
      <c r="AU168" s="24"/>
      <c r="AV168" s="202"/>
      <c r="AW168" s="191"/>
      <c r="AX168" s="24"/>
      <c r="AY168" s="202"/>
      <c r="AZ168" s="191"/>
      <c r="BA168" s="23"/>
      <c r="BB168" s="23"/>
      <c r="BC168" s="23"/>
      <c r="BD168" s="23"/>
      <c r="BE168" s="23"/>
      <c r="BF168" s="23"/>
      <c r="BG168" s="23"/>
      <c r="BH168" s="23"/>
      <c r="BI168" s="23"/>
      <c r="BJ168" s="24"/>
      <c r="BK168" s="202"/>
      <c r="BL168" s="191"/>
      <c r="BM168" s="37"/>
      <c r="BN168" s="203"/>
      <c r="BO168" s="31"/>
      <c r="BP168" s="24"/>
      <c r="BQ168" s="202"/>
      <c r="BR168" s="191"/>
      <c r="BS168" s="37"/>
      <c r="BT168" s="37"/>
      <c r="BU168" s="37"/>
      <c r="BV168" s="24"/>
      <c r="BW168" s="202"/>
      <c r="BX168" s="191"/>
      <c r="BY168" s="24"/>
      <c r="BZ168" s="202"/>
      <c r="CA168" s="191"/>
      <c r="CB168" s="24"/>
      <c r="CC168" s="202"/>
      <c r="CD168" s="191"/>
    </row>
    <row r="169" spans="1:82">
      <c r="A169" s="81">
        <v>41</v>
      </c>
      <c r="B169" s="82">
        <v>34</v>
      </c>
      <c r="C169" s="82">
        <v>44</v>
      </c>
      <c r="D169" s="82">
        <v>3.5</v>
      </c>
      <c r="E169" s="82">
        <v>3</v>
      </c>
      <c r="F169" s="82">
        <f t="shared" si="18"/>
        <v>3.25</v>
      </c>
      <c r="G169" s="200">
        <v>3</v>
      </c>
      <c r="H169" s="82">
        <v>8.5000000000000006E-2</v>
      </c>
      <c r="I169" s="82">
        <v>18.600000000000001</v>
      </c>
      <c r="J169" s="179">
        <f t="shared" si="19"/>
        <v>0.45698924731182794</v>
      </c>
      <c r="K169" s="82">
        <f t="shared" si="20"/>
        <v>1.2976057347670251E-2</v>
      </c>
      <c r="L169" s="3">
        <f t="shared" si="21"/>
        <v>5.4765031603502276E-12</v>
      </c>
      <c r="M169" s="3">
        <f t="shared" si="22"/>
        <v>2369405616.6381211</v>
      </c>
      <c r="N169" s="29">
        <f t="shared" si="23"/>
        <v>2.369405616638121</v>
      </c>
      <c r="O169" s="30">
        <f t="shared" si="24"/>
        <v>0.45698924731182794</v>
      </c>
      <c r="P169" s="175">
        <f t="shared" si="25"/>
        <v>1.2976057347670251E-2</v>
      </c>
      <c r="Q169" s="26">
        <f t="shared" si="26"/>
        <v>2.369405616638121</v>
      </c>
      <c r="AF169" s="24"/>
      <c r="AG169" s="202"/>
      <c r="AH169" s="191"/>
      <c r="AI169" s="37"/>
      <c r="AJ169" s="203"/>
      <c r="AK169" s="31"/>
      <c r="AL169" s="24"/>
      <c r="AM169" s="202"/>
      <c r="AN169" s="191"/>
      <c r="AO169" s="37"/>
      <c r="AP169" s="37"/>
      <c r="AQ169" s="37"/>
      <c r="AR169" s="24"/>
      <c r="AS169" s="202"/>
      <c r="AT169" s="191"/>
      <c r="AU169" s="24"/>
      <c r="AV169" s="202"/>
      <c r="AW169" s="191"/>
      <c r="AX169" s="24"/>
      <c r="AY169" s="202"/>
      <c r="AZ169" s="191"/>
      <c r="BA169" s="23"/>
      <c r="BB169" s="23"/>
      <c r="BC169" s="23"/>
      <c r="BD169" s="23"/>
      <c r="BE169" s="23"/>
      <c r="BF169" s="23"/>
      <c r="BG169" s="23"/>
      <c r="BH169" s="23"/>
      <c r="BI169" s="23"/>
      <c r="BJ169" s="24"/>
      <c r="BK169" s="202"/>
      <c r="BL169" s="191"/>
      <c r="BM169" s="37"/>
      <c r="BN169" s="203"/>
      <c r="BO169" s="31"/>
      <c r="BP169" s="24"/>
      <c r="BQ169" s="202"/>
      <c r="BR169" s="191"/>
      <c r="BS169" s="37"/>
      <c r="BT169" s="37"/>
      <c r="BU169" s="37"/>
      <c r="BV169" s="24"/>
      <c r="BW169" s="202"/>
      <c r="BX169" s="191"/>
      <c r="BY169" s="24"/>
      <c r="BZ169" s="202"/>
      <c r="CA169" s="191"/>
      <c r="CB169" s="24"/>
      <c r="CC169" s="202"/>
      <c r="CD169" s="191"/>
    </row>
    <row r="170" spans="1:82">
      <c r="A170" s="81">
        <v>41</v>
      </c>
      <c r="B170" s="82">
        <v>34</v>
      </c>
      <c r="C170" s="82">
        <v>44</v>
      </c>
      <c r="D170" s="82">
        <v>3.5</v>
      </c>
      <c r="E170" s="82">
        <v>3</v>
      </c>
      <c r="F170" s="82">
        <f t="shared" si="18"/>
        <v>3.25</v>
      </c>
      <c r="G170" s="200">
        <v>4</v>
      </c>
      <c r="H170" s="82">
        <v>0.113</v>
      </c>
      <c r="I170" s="82">
        <v>18.2</v>
      </c>
      <c r="J170" s="179">
        <f t="shared" si="19"/>
        <v>0.62087912087912089</v>
      </c>
      <c r="K170" s="82">
        <f t="shared" si="20"/>
        <v>1.7629655677655679E-2</v>
      </c>
      <c r="L170" s="3">
        <f t="shared" si="21"/>
        <v>5.4765031603502276E-12</v>
      </c>
      <c r="M170" s="3">
        <f t="shared" si="22"/>
        <v>3219144618.6490006</v>
      </c>
      <c r="N170" s="29">
        <f t="shared" si="23"/>
        <v>3.2191446186490005</v>
      </c>
      <c r="O170" s="30">
        <f t="shared" si="24"/>
        <v>0.62087912087912089</v>
      </c>
      <c r="P170" s="175">
        <f t="shared" si="25"/>
        <v>1.7629655677655679E-2</v>
      </c>
      <c r="Q170" s="26">
        <f t="shared" si="26"/>
        <v>3.2191446186490005</v>
      </c>
      <c r="AF170" s="24"/>
      <c r="AG170" s="202"/>
      <c r="AH170" s="191"/>
      <c r="AI170" s="37"/>
      <c r="AJ170" s="203"/>
      <c r="AK170" s="31"/>
      <c r="AL170" s="24"/>
      <c r="AM170" s="202"/>
      <c r="AN170" s="191"/>
      <c r="AO170" s="37"/>
      <c r="AP170" s="37"/>
      <c r="AQ170" s="37"/>
      <c r="AR170" s="24"/>
      <c r="AS170" s="202"/>
      <c r="AT170" s="191"/>
      <c r="AU170" s="24"/>
      <c r="AV170" s="202"/>
      <c r="AW170" s="191"/>
      <c r="AX170" s="24"/>
      <c r="AY170" s="202"/>
      <c r="AZ170" s="191"/>
      <c r="BA170" s="23"/>
      <c r="BB170" s="23"/>
      <c r="BC170" s="23"/>
      <c r="BD170" s="23"/>
      <c r="BE170" s="23"/>
      <c r="BF170" s="23"/>
      <c r="BG170" s="23"/>
      <c r="BH170" s="23"/>
      <c r="BI170" s="23"/>
      <c r="BJ170" s="24"/>
      <c r="BK170" s="202"/>
      <c r="BL170" s="191"/>
      <c r="BM170" s="37"/>
      <c r="BN170" s="203"/>
      <c r="BO170" s="31"/>
      <c r="BP170" s="24"/>
      <c r="BQ170" s="202"/>
      <c r="BR170" s="191"/>
      <c r="BS170" s="37"/>
      <c r="BT170" s="37"/>
      <c r="BU170" s="37"/>
      <c r="BV170" s="24"/>
      <c r="BW170" s="202"/>
      <c r="BX170" s="191"/>
      <c r="BY170" s="24"/>
      <c r="BZ170" s="202"/>
      <c r="CA170" s="191"/>
      <c r="CB170" s="24"/>
      <c r="CC170" s="202"/>
      <c r="CD170" s="191"/>
    </row>
    <row r="171" spans="1:82">
      <c r="A171" s="204">
        <v>42</v>
      </c>
      <c r="B171" s="205">
        <v>38</v>
      </c>
      <c r="C171" s="205">
        <v>54</v>
      </c>
      <c r="D171" s="205">
        <v>3.5</v>
      </c>
      <c r="E171" s="205">
        <v>3</v>
      </c>
      <c r="F171" s="205">
        <f t="shared" si="18"/>
        <v>3.25</v>
      </c>
      <c r="G171" s="206">
        <v>1</v>
      </c>
      <c r="H171" s="205">
        <v>0.16</v>
      </c>
      <c r="I171" s="205">
        <v>19</v>
      </c>
      <c r="J171" s="207">
        <f t="shared" si="19"/>
        <v>0.84210526315789469</v>
      </c>
      <c r="K171" s="205">
        <f t="shared" si="20"/>
        <v>4.4200421052631583E-2</v>
      </c>
      <c r="L171" s="205">
        <f t="shared" si="21"/>
        <v>5.4765031603502276E-12</v>
      </c>
      <c r="M171" s="205">
        <f t="shared" si="22"/>
        <v>8070920395.4526567</v>
      </c>
      <c r="N171" s="252">
        <f t="shared" si="23"/>
        <v>8.0709203954526565</v>
      </c>
      <c r="O171" s="207">
        <f t="shared" si="24"/>
        <v>0.84210526315789469</v>
      </c>
      <c r="P171" s="253">
        <f t="shared" si="25"/>
        <v>4.4200421052631583E-2</v>
      </c>
      <c r="Q171" s="254">
        <f t="shared" si="26"/>
        <v>8.0709203954526565</v>
      </c>
      <c r="AF171" s="24"/>
      <c r="AG171" s="202"/>
      <c r="AH171" s="191"/>
      <c r="AI171" s="37"/>
      <c r="AJ171" s="203"/>
      <c r="AK171" s="31"/>
      <c r="AL171" s="24"/>
      <c r="AM171" s="202"/>
      <c r="AN171" s="191"/>
      <c r="AO171" s="37"/>
      <c r="AP171" s="37"/>
      <c r="AQ171" s="37"/>
      <c r="AR171" s="24"/>
      <c r="AS171" s="202"/>
      <c r="AT171" s="191"/>
      <c r="AU171" s="24"/>
      <c r="AV171" s="202"/>
      <c r="AW171" s="191"/>
      <c r="AX171" s="24"/>
      <c r="AY171" s="202"/>
      <c r="AZ171" s="191"/>
      <c r="BA171" s="23"/>
      <c r="BB171" s="23"/>
      <c r="BC171" s="23"/>
      <c r="BD171" s="23"/>
      <c r="BE171" s="23"/>
      <c r="BF171" s="23"/>
      <c r="BG171" s="23"/>
      <c r="BH171" s="23"/>
      <c r="BI171" s="23"/>
      <c r="BJ171" s="24"/>
      <c r="BK171" s="202"/>
      <c r="BL171" s="191"/>
      <c r="BM171" s="37"/>
      <c r="BN171" s="203"/>
      <c r="BO171" s="31"/>
      <c r="BP171" s="24"/>
      <c r="BQ171" s="202"/>
      <c r="BR171" s="191"/>
      <c r="BS171" s="37"/>
      <c r="BT171" s="37"/>
      <c r="BU171" s="37"/>
      <c r="BV171" s="24"/>
      <c r="BW171" s="202"/>
      <c r="BX171" s="191"/>
      <c r="BY171" s="24"/>
      <c r="BZ171" s="202"/>
      <c r="CA171" s="191"/>
      <c r="CB171" s="24"/>
      <c r="CC171" s="202"/>
      <c r="CD171" s="191"/>
    </row>
    <row r="172" spans="1:82">
      <c r="A172" s="204">
        <v>42</v>
      </c>
      <c r="B172" s="205">
        <v>38</v>
      </c>
      <c r="C172" s="205">
        <v>54</v>
      </c>
      <c r="D172" s="205">
        <v>3.5</v>
      </c>
      <c r="E172" s="205">
        <v>3</v>
      </c>
      <c r="F172" s="205">
        <f t="shared" si="18"/>
        <v>3.25</v>
      </c>
      <c r="G172" s="206">
        <v>2</v>
      </c>
      <c r="H172" s="205">
        <v>0.216</v>
      </c>
      <c r="I172" s="205">
        <v>21.8</v>
      </c>
      <c r="J172" s="207">
        <f t="shared" si="19"/>
        <v>0.99082568807339444</v>
      </c>
      <c r="K172" s="205">
        <f t="shared" si="20"/>
        <v>5.2006458715596338E-2</v>
      </c>
      <c r="L172" s="205">
        <f t="shared" si="21"/>
        <v>5.4765031603502276E-12</v>
      </c>
      <c r="M172" s="205">
        <f t="shared" si="22"/>
        <v>9496289364.374342</v>
      </c>
      <c r="N172" s="252">
        <f t="shared" si="23"/>
        <v>9.4962893643743413</v>
      </c>
      <c r="O172" s="207">
        <f t="shared" si="24"/>
        <v>0.99082568807339444</v>
      </c>
      <c r="P172" s="253">
        <f t="shared" si="25"/>
        <v>5.2006458715596338E-2</v>
      </c>
      <c r="Q172" s="254">
        <f t="shared" si="26"/>
        <v>9.4962893643743413</v>
      </c>
      <c r="AF172" s="24"/>
      <c r="AG172" s="202"/>
      <c r="AH172" s="191"/>
      <c r="AI172" s="37"/>
      <c r="AJ172" s="203"/>
      <c r="AK172" s="31"/>
      <c r="AL172" s="24"/>
      <c r="AM172" s="202"/>
      <c r="AN172" s="191"/>
      <c r="AO172" s="37"/>
      <c r="AP172" s="37"/>
      <c r="AQ172" s="37"/>
      <c r="AR172" s="24"/>
      <c r="AS172" s="202"/>
      <c r="AT172" s="191"/>
      <c r="AU172" s="24"/>
      <c r="AV172" s="202"/>
      <c r="AW172" s="191"/>
      <c r="AX172" s="24"/>
      <c r="AY172" s="202"/>
      <c r="AZ172" s="191"/>
      <c r="BA172" s="23"/>
      <c r="BB172" s="23"/>
      <c r="BC172" s="23"/>
      <c r="BD172" s="23"/>
      <c r="BE172" s="23"/>
      <c r="BF172" s="23"/>
      <c r="BG172" s="23"/>
      <c r="BH172" s="23"/>
      <c r="BI172" s="23"/>
      <c r="BJ172" s="24"/>
      <c r="BK172" s="202"/>
      <c r="BL172" s="191"/>
      <c r="BM172" s="37"/>
      <c r="BN172" s="203"/>
      <c r="BO172" s="31"/>
      <c r="BP172" s="24"/>
      <c r="BQ172" s="202"/>
      <c r="BR172" s="191"/>
      <c r="BS172" s="37"/>
      <c r="BT172" s="37"/>
      <c r="BU172" s="37"/>
      <c r="BV172" s="24"/>
      <c r="BW172" s="202"/>
      <c r="BX172" s="191"/>
      <c r="BY172" s="24"/>
      <c r="BZ172" s="202"/>
      <c r="CA172" s="191"/>
      <c r="CB172" s="24"/>
      <c r="CC172" s="202"/>
      <c r="CD172" s="191"/>
    </row>
    <row r="173" spans="1:82">
      <c r="A173" s="204">
        <v>42</v>
      </c>
      <c r="B173" s="205">
        <v>38</v>
      </c>
      <c r="C173" s="205">
        <v>54</v>
      </c>
      <c r="D173" s="205">
        <v>3.5</v>
      </c>
      <c r="E173" s="205">
        <v>3</v>
      </c>
      <c r="F173" s="205">
        <f t="shared" si="18"/>
        <v>3.25</v>
      </c>
      <c r="G173" s="206">
        <v>3</v>
      </c>
      <c r="H173" s="205">
        <v>0.123</v>
      </c>
      <c r="I173" s="205">
        <v>21.8</v>
      </c>
      <c r="J173" s="207">
        <f t="shared" si="19"/>
        <v>0.56422018348623848</v>
      </c>
      <c r="K173" s="205">
        <f t="shared" si="20"/>
        <v>2.9614788990825688E-2</v>
      </c>
      <c r="L173" s="205">
        <f t="shared" si="21"/>
        <v>5.4765031603502276E-12</v>
      </c>
      <c r="M173" s="205">
        <f t="shared" si="22"/>
        <v>5407609221.3798332</v>
      </c>
      <c r="N173" s="252">
        <f t="shared" si="23"/>
        <v>5.4076092213798335</v>
      </c>
      <c r="O173" s="207">
        <f t="shared" si="24"/>
        <v>0.56422018348623848</v>
      </c>
      <c r="P173" s="253">
        <f t="shared" si="25"/>
        <v>2.9614788990825688E-2</v>
      </c>
      <c r="Q173" s="254">
        <f t="shared" si="26"/>
        <v>5.4076092213798335</v>
      </c>
      <c r="AF173" s="24"/>
      <c r="AG173" s="202"/>
      <c r="AH173" s="191"/>
      <c r="AI173" s="37"/>
      <c r="AJ173" s="203"/>
      <c r="AK173" s="31"/>
      <c r="AL173" s="24"/>
      <c r="AM173" s="202"/>
      <c r="AN173" s="191"/>
      <c r="AO173" s="37"/>
      <c r="AP173" s="37"/>
      <c r="AQ173" s="37"/>
      <c r="AR173" s="24"/>
      <c r="AS173" s="202"/>
      <c r="AT173" s="191"/>
      <c r="AU173" s="24"/>
      <c r="AV173" s="202"/>
      <c r="AW173" s="191"/>
      <c r="AX173" s="24"/>
      <c r="AY173" s="202"/>
      <c r="AZ173" s="191"/>
      <c r="BA173" s="23"/>
      <c r="BB173" s="23"/>
      <c r="BC173" s="23"/>
      <c r="BD173" s="23"/>
      <c r="BE173" s="23"/>
      <c r="BF173" s="23"/>
      <c r="BG173" s="23"/>
      <c r="BH173" s="23"/>
      <c r="BI173" s="23"/>
      <c r="BJ173" s="24"/>
      <c r="BK173" s="202"/>
      <c r="BL173" s="191"/>
      <c r="BM173" s="37"/>
      <c r="BN173" s="203"/>
      <c r="BO173" s="31"/>
      <c r="BP173" s="24"/>
      <c r="BQ173" s="202"/>
      <c r="BR173" s="191"/>
      <c r="BS173" s="37"/>
      <c r="BT173" s="37"/>
      <c r="BU173" s="37"/>
      <c r="BV173" s="24"/>
      <c r="BW173" s="202"/>
      <c r="BX173" s="191"/>
      <c r="BY173" s="24"/>
      <c r="BZ173" s="202"/>
      <c r="CA173" s="191"/>
      <c r="CB173" s="24"/>
      <c r="CC173" s="202"/>
      <c r="CD173" s="191"/>
    </row>
    <row r="174" spans="1:82">
      <c r="A174" s="204">
        <v>42</v>
      </c>
      <c r="B174" s="205">
        <v>38</v>
      </c>
      <c r="C174" s="205">
        <v>54</v>
      </c>
      <c r="D174" s="205">
        <v>3.5</v>
      </c>
      <c r="E174" s="205">
        <v>3</v>
      </c>
      <c r="F174" s="205">
        <f t="shared" si="18"/>
        <v>3.25</v>
      </c>
      <c r="G174" s="206">
        <v>4</v>
      </c>
      <c r="H174" s="205">
        <v>7.6999999999999999E-2</v>
      </c>
      <c r="I174" s="205">
        <v>22.3</v>
      </c>
      <c r="J174" s="207">
        <f t="shared" si="19"/>
        <v>0.3452914798206278</v>
      </c>
      <c r="K174" s="205">
        <f t="shared" si="20"/>
        <v>1.8123659192825114E-2</v>
      </c>
      <c r="L174" s="205">
        <f t="shared" si="21"/>
        <v>5.4765031603502276E-12</v>
      </c>
      <c r="M174" s="205">
        <f t="shared" si="22"/>
        <v>3309348805.646647</v>
      </c>
      <c r="N174" s="252">
        <f t="shared" si="23"/>
        <v>3.3093488056466471</v>
      </c>
      <c r="O174" s="207">
        <f t="shared" si="24"/>
        <v>0.3452914798206278</v>
      </c>
      <c r="P174" s="253">
        <f t="shared" si="25"/>
        <v>1.8123659192825114E-2</v>
      </c>
      <c r="Q174" s="254">
        <f t="shared" si="26"/>
        <v>3.3093488056466471</v>
      </c>
      <c r="AF174" s="24"/>
      <c r="AG174" s="202"/>
      <c r="AH174" s="191"/>
      <c r="AI174" s="37"/>
      <c r="AJ174" s="203"/>
      <c r="AK174" s="31"/>
      <c r="AL174" s="24"/>
      <c r="AM174" s="202"/>
      <c r="AN174" s="191"/>
      <c r="AO174" s="37"/>
      <c r="AP174" s="37"/>
      <c r="AQ174" s="37"/>
      <c r="AR174" s="24"/>
      <c r="AS174" s="202"/>
      <c r="AT174" s="191"/>
      <c r="AU174" s="24"/>
      <c r="AV174" s="202"/>
      <c r="AW174" s="191"/>
      <c r="AX174" s="24"/>
      <c r="AY174" s="202"/>
      <c r="AZ174" s="191"/>
      <c r="BA174" s="23"/>
      <c r="BB174" s="23"/>
      <c r="BC174" s="23"/>
      <c r="BD174" s="23"/>
      <c r="BE174" s="23"/>
      <c r="BF174" s="23"/>
      <c r="BG174" s="23"/>
      <c r="BH174" s="23"/>
      <c r="BI174" s="23"/>
      <c r="BJ174" s="24"/>
      <c r="BK174" s="202"/>
      <c r="BL174" s="191"/>
      <c r="BM174" s="37"/>
      <c r="BN174" s="203"/>
      <c r="BO174" s="31"/>
      <c r="BP174" s="24"/>
      <c r="BQ174" s="202"/>
      <c r="BR174" s="191"/>
      <c r="BS174" s="37"/>
      <c r="BT174" s="37"/>
      <c r="BU174" s="37"/>
      <c r="BV174" s="24"/>
      <c r="BW174" s="202"/>
      <c r="BX174" s="191"/>
      <c r="BY174" s="24"/>
      <c r="BZ174" s="202"/>
      <c r="CA174" s="191"/>
      <c r="CB174" s="24"/>
      <c r="CC174" s="202"/>
      <c r="CD174" s="191"/>
    </row>
    <row r="175" spans="1:82">
      <c r="A175" s="81">
        <v>43</v>
      </c>
      <c r="B175" s="82">
        <v>36</v>
      </c>
      <c r="C175" s="82">
        <v>60</v>
      </c>
      <c r="D175" s="82">
        <v>3.5</v>
      </c>
      <c r="E175" s="82">
        <v>2.5</v>
      </c>
      <c r="F175" s="82">
        <f t="shared" si="18"/>
        <v>3</v>
      </c>
      <c r="G175" s="200">
        <v>1</v>
      </c>
      <c r="H175" s="82">
        <v>0.123</v>
      </c>
      <c r="I175" s="82">
        <v>23.2</v>
      </c>
      <c r="J175" s="179">
        <f t="shared" si="19"/>
        <v>0.53017241379310343</v>
      </c>
      <c r="K175" s="82">
        <f t="shared" si="20"/>
        <v>3.8172413793103446E-2</v>
      </c>
      <c r="L175" s="3">
        <f t="shared" si="21"/>
        <v>3.9760782021995822E-12</v>
      </c>
      <c r="M175" s="3">
        <f t="shared" si="22"/>
        <v>9600518866.0490417</v>
      </c>
      <c r="N175" s="29">
        <f t="shared" si="23"/>
        <v>9.6005188660490415</v>
      </c>
      <c r="O175" s="30">
        <f t="shared" si="24"/>
        <v>0.53017241379310343</v>
      </c>
      <c r="P175" s="175">
        <f t="shared" si="25"/>
        <v>3.8172413793103446E-2</v>
      </c>
      <c r="Q175" s="26">
        <f t="shared" si="26"/>
        <v>9.6005188660490415</v>
      </c>
      <c r="AF175" s="24"/>
      <c r="AG175" s="202"/>
      <c r="AH175" s="191"/>
      <c r="AI175" s="37"/>
      <c r="AJ175" s="203"/>
      <c r="AK175" s="31"/>
      <c r="AL175" s="24"/>
      <c r="AM175" s="202"/>
      <c r="AN175" s="191"/>
      <c r="AO175" s="37"/>
      <c r="AP175" s="37"/>
      <c r="AQ175" s="37"/>
      <c r="AR175" s="24"/>
      <c r="AS175" s="202"/>
      <c r="AT175" s="191"/>
      <c r="AU175" s="24"/>
      <c r="AV175" s="202"/>
      <c r="AW175" s="191"/>
      <c r="AX175" s="24"/>
      <c r="AY175" s="202"/>
      <c r="AZ175" s="191"/>
      <c r="BA175" s="23"/>
      <c r="BB175" s="23"/>
      <c r="BC175" s="23"/>
      <c r="BD175" s="23"/>
      <c r="BE175" s="23"/>
      <c r="BF175" s="23"/>
      <c r="BG175" s="23"/>
      <c r="BH175" s="23"/>
      <c r="BI175" s="23"/>
      <c r="BJ175" s="24"/>
      <c r="BK175" s="202"/>
      <c r="BL175" s="191"/>
      <c r="BM175" s="37"/>
      <c r="BN175" s="203"/>
      <c r="BO175" s="31"/>
      <c r="BP175" s="24"/>
      <c r="BQ175" s="202"/>
      <c r="BR175" s="191"/>
      <c r="BS175" s="37"/>
      <c r="BT175" s="37"/>
      <c r="BU175" s="37"/>
      <c r="BV175" s="24"/>
      <c r="BW175" s="202"/>
      <c r="BX175" s="191"/>
      <c r="BY175" s="24"/>
      <c r="BZ175" s="202"/>
      <c r="CA175" s="191"/>
      <c r="CB175" s="24"/>
      <c r="CC175" s="202"/>
      <c r="CD175" s="191"/>
    </row>
    <row r="176" spans="1:82">
      <c r="A176" s="81">
        <v>43</v>
      </c>
      <c r="B176" s="82">
        <v>36</v>
      </c>
      <c r="C176" s="82">
        <v>60</v>
      </c>
      <c r="D176" s="82">
        <v>3.5</v>
      </c>
      <c r="E176" s="82">
        <v>2.5</v>
      </c>
      <c r="F176" s="82">
        <f t="shared" si="18"/>
        <v>3</v>
      </c>
      <c r="G176" s="200">
        <v>2</v>
      </c>
      <c r="H176" s="82">
        <v>9.2999999999999999E-2</v>
      </c>
      <c r="I176" s="82">
        <v>22.2</v>
      </c>
      <c r="J176" s="179">
        <f t="shared" si="19"/>
        <v>0.41891891891891891</v>
      </c>
      <c r="K176" s="82">
        <f t="shared" si="20"/>
        <v>3.0162162162162161E-2</v>
      </c>
      <c r="L176" s="3">
        <f t="shared" si="21"/>
        <v>3.9760782021995822E-12</v>
      </c>
      <c r="M176" s="3">
        <f t="shared" si="22"/>
        <v>7585907677.9416294</v>
      </c>
      <c r="N176" s="29">
        <f t="shared" si="23"/>
        <v>7.5859076779416297</v>
      </c>
      <c r="O176" s="30">
        <f t="shared" si="24"/>
        <v>0.41891891891891891</v>
      </c>
      <c r="P176" s="175">
        <f t="shared" si="25"/>
        <v>3.0162162162162161E-2</v>
      </c>
      <c r="Q176" s="26">
        <f t="shared" si="26"/>
        <v>7.5859076779416297</v>
      </c>
      <c r="AF176" s="24"/>
      <c r="AG176" s="202"/>
      <c r="AH176" s="191"/>
      <c r="AI176" s="37"/>
      <c r="AJ176" s="203"/>
      <c r="AK176" s="31"/>
      <c r="AL176" s="24"/>
      <c r="AM176" s="202"/>
      <c r="AN176" s="191"/>
      <c r="AO176" s="37"/>
      <c r="AP176" s="37"/>
      <c r="AQ176" s="37"/>
      <c r="AR176" s="24"/>
      <c r="AS176" s="202"/>
      <c r="AT176" s="191"/>
      <c r="AU176" s="24"/>
      <c r="AV176" s="202"/>
      <c r="AW176" s="191"/>
      <c r="AX176" s="24"/>
      <c r="AY176" s="202"/>
      <c r="AZ176" s="191"/>
      <c r="BA176" s="23"/>
      <c r="BB176" s="23"/>
      <c r="BC176" s="23"/>
      <c r="BD176" s="23"/>
      <c r="BE176" s="23"/>
      <c r="BF176" s="23"/>
      <c r="BG176" s="23"/>
      <c r="BH176" s="23"/>
      <c r="BI176" s="23"/>
      <c r="BJ176" s="24"/>
      <c r="BK176" s="202"/>
      <c r="BL176" s="191"/>
      <c r="BM176" s="37"/>
      <c r="BN176" s="203"/>
      <c r="BO176" s="31"/>
      <c r="BP176" s="24"/>
      <c r="BQ176" s="202"/>
      <c r="BR176" s="191"/>
      <c r="BS176" s="37"/>
      <c r="BT176" s="37"/>
      <c r="BU176" s="37"/>
      <c r="BV176" s="24"/>
      <c r="BW176" s="202"/>
      <c r="BX176" s="191"/>
      <c r="BY176" s="24"/>
      <c r="BZ176" s="202"/>
      <c r="CA176" s="191"/>
      <c r="CB176" s="24"/>
      <c r="CC176" s="202"/>
      <c r="CD176" s="191"/>
    </row>
    <row r="177" spans="1:82">
      <c r="A177" s="81">
        <v>43</v>
      </c>
      <c r="B177" s="82">
        <v>36</v>
      </c>
      <c r="C177" s="82">
        <v>60</v>
      </c>
      <c r="D177" s="82">
        <v>3.5</v>
      </c>
      <c r="E177" s="82">
        <v>2.5</v>
      </c>
      <c r="F177" s="82">
        <f t="shared" si="18"/>
        <v>3</v>
      </c>
      <c r="G177" s="200">
        <v>3</v>
      </c>
      <c r="H177" s="82">
        <v>8.2000000000000003E-2</v>
      </c>
      <c r="I177" s="82">
        <v>22.8</v>
      </c>
      <c r="J177" s="179">
        <f t="shared" si="19"/>
        <v>0.35964912280701755</v>
      </c>
      <c r="K177" s="82">
        <f t="shared" si="20"/>
        <v>2.5894736842105262E-2</v>
      </c>
      <c r="L177" s="3">
        <f t="shared" si="21"/>
        <v>3.9760782021995822E-12</v>
      </c>
      <c r="M177" s="3">
        <f t="shared" si="22"/>
        <v>6512632681.0625076</v>
      </c>
      <c r="N177" s="29">
        <f t="shared" si="23"/>
        <v>6.5126326810625077</v>
      </c>
      <c r="O177" s="30">
        <f t="shared" si="24"/>
        <v>0.35964912280701755</v>
      </c>
      <c r="P177" s="175">
        <f t="shared" si="25"/>
        <v>2.5894736842105262E-2</v>
      </c>
      <c r="Q177" s="26">
        <f t="shared" si="26"/>
        <v>6.5126326810625077</v>
      </c>
      <c r="AF177" s="24"/>
      <c r="AG177" s="202"/>
      <c r="AH177" s="191"/>
      <c r="AI177" s="37"/>
      <c r="AJ177" s="203"/>
      <c r="AK177" s="31"/>
      <c r="AL177" s="24"/>
      <c r="AM177" s="202"/>
      <c r="AN177" s="191"/>
      <c r="AO177" s="37"/>
      <c r="AP177" s="37"/>
      <c r="AQ177" s="37"/>
      <c r="AR177" s="24"/>
      <c r="AS177" s="202"/>
      <c r="AT177" s="191"/>
      <c r="AU177" s="24"/>
      <c r="AV177" s="202"/>
      <c r="AW177" s="191"/>
      <c r="AX177" s="24"/>
      <c r="AY177" s="202"/>
      <c r="AZ177" s="191"/>
      <c r="BA177" s="23"/>
      <c r="BB177" s="23"/>
      <c r="BC177" s="23"/>
      <c r="BD177" s="23"/>
      <c r="BE177" s="23"/>
      <c r="BF177" s="23"/>
      <c r="BG177" s="23"/>
      <c r="BH177" s="23"/>
      <c r="BI177" s="23"/>
      <c r="BJ177" s="24"/>
      <c r="BK177" s="202"/>
      <c r="BL177" s="191"/>
      <c r="BM177" s="37"/>
      <c r="BN177" s="203"/>
      <c r="BO177" s="31"/>
      <c r="BP177" s="24"/>
      <c r="BQ177" s="202"/>
      <c r="BR177" s="191"/>
      <c r="BS177" s="37"/>
      <c r="BT177" s="37"/>
      <c r="BU177" s="37"/>
      <c r="BV177" s="24"/>
      <c r="BW177" s="202"/>
      <c r="BX177" s="191"/>
      <c r="BY177" s="24"/>
      <c r="BZ177" s="202"/>
      <c r="CA177" s="191"/>
      <c r="CB177" s="24"/>
      <c r="CC177" s="202"/>
      <c r="CD177" s="191"/>
    </row>
    <row r="178" spans="1:82">
      <c r="A178" s="81">
        <v>43</v>
      </c>
      <c r="B178" s="82">
        <v>36</v>
      </c>
      <c r="C178" s="82">
        <v>60</v>
      </c>
      <c r="D178" s="82">
        <v>3.5</v>
      </c>
      <c r="E178" s="82">
        <v>2.5</v>
      </c>
      <c r="F178" s="82">
        <f t="shared" si="18"/>
        <v>3</v>
      </c>
      <c r="G178" s="200">
        <v>4</v>
      </c>
      <c r="H178" s="82">
        <v>7.0000000000000007E-2</v>
      </c>
      <c r="I178" s="82">
        <v>23.7</v>
      </c>
      <c r="J178" s="179">
        <f t="shared" si="19"/>
        <v>0.29535864978902959</v>
      </c>
      <c r="K178" s="82">
        <f t="shared" si="20"/>
        <v>2.1265822784810134E-2</v>
      </c>
      <c r="L178" s="3">
        <f t="shared" si="21"/>
        <v>3.9760782021995822E-12</v>
      </c>
      <c r="M178" s="3">
        <f t="shared" si="22"/>
        <v>5348441781.9161091</v>
      </c>
      <c r="N178" s="29">
        <f t="shared" si="23"/>
        <v>5.348441781916109</v>
      </c>
      <c r="O178" s="30">
        <f t="shared" si="24"/>
        <v>0.29535864978902959</v>
      </c>
      <c r="P178" s="175">
        <f t="shared" si="25"/>
        <v>2.1265822784810134E-2</v>
      </c>
      <c r="Q178" s="26">
        <f t="shared" si="26"/>
        <v>5.348441781916109</v>
      </c>
      <c r="AF178" s="24"/>
      <c r="AG178" s="202"/>
      <c r="AH178" s="191"/>
      <c r="AI178" s="37"/>
      <c r="AJ178" s="203"/>
      <c r="AK178" s="31"/>
      <c r="AL178" s="24"/>
      <c r="AM178" s="202"/>
      <c r="AN178" s="191"/>
      <c r="AO178" s="37"/>
      <c r="AP178" s="37"/>
      <c r="AQ178" s="37"/>
      <c r="AR178" s="24"/>
      <c r="AS178" s="202"/>
      <c r="AT178" s="191"/>
      <c r="AU178" s="24"/>
      <c r="AV178" s="202"/>
      <c r="AW178" s="191"/>
      <c r="AX178" s="24"/>
      <c r="AY178" s="202"/>
      <c r="AZ178" s="191"/>
      <c r="BA178" s="23"/>
      <c r="BB178" s="23"/>
      <c r="BC178" s="23"/>
      <c r="BD178" s="23"/>
      <c r="BE178" s="23"/>
      <c r="BF178" s="23"/>
      <c r="BG178" s="23"/>
      <c r="BH178" s="23"/>
      <c r="BI178" s="23"/>
      <c r="BJ178" s="24"/>
      <c r="BK178" s="202"/>
      <c r="BL178" s="191"/>
      <c r="BM178" s="37"/>
      <c r="BN178" s="203"/>
      <c r="BO178" s="31"/>
      <c r="BP178" s="24"/>
      <c r="BQ178" s="202"/>
      <c r="BR178" s="191"/>
      <c r="BS178" s="37"/>
      <c r="BT178" s="37"/>
      <c r="BU178" s="37"/>
      <c r="BV178" s="24"/>
      <c r="BW178" s="202"/>
      <c r="BX178" s="191"/>
      <c r="BY178" s="24"/>
      <c r="BZ178" s="202"/>
      <c r="CA178" s="191"/>
      <c r="CB178" s="24"/>
      <c r="CC178" s="202"/>
      <c r="CD178" s="191"/>
    </row>
    <row r="179" spans="1:82">
      <c r="A179" s="204">
        <v>44</v>
      </c>
      <c r="B179" s="205">
        <v>46</v>
      </c>
      <c r="C179" s="205">
        <v>63</v>
      </c>
      <c r="D179" s="205">
        <v>3</v>
      </c>
      <c r="E179" s="205">
        <v>3</v>
      </c>
      <c r="F179" s="205">
        <f t="shared" si="18"/>
        <v>3</v>
      </c>
      <c r="G179" s="206">
        <v>1</v>
      </c>
      <c r="H179" s="205">
        <v>7.0000000000000007E-2</v>
      </c>
      <c r="I179" s="205">
        <v>24.1</v>
      </c>
      <c r="J179" s="207">
        <f t="shared" si="19"/>
        <v>0.29045643153526973</v>
      </c>
      <c r="K179" s="205">
        <f t="shared" si="20"/>
        <v>2.4209253112033199E-2</v>
      </c>
      <c r="L179" s="205">
        <f t="shared" si="21"/>
        <v>3.9760782021995822E-12</v>
      </c>
      <c r="M179" s="205">
        <f t="shared" si="22"/>
        <v>6088726599.6530313</v>
      </c>
      <c r="N179" s="252">
        <f t="shared" si="23"/>
        <v>6.0887265996530315</v>
      </c>
      <c r="O179" s="207">
        <f t="shared" si="24"/>
        <v>0.29045643153526973</v>
      </c>
      <c r="P179" s="253">
        <f t="shared" si="25"/>
        <v>2.4209253112033199E-2</v>
      </c>
      <c r="Q179" s="254">
        <f t="shared" si="26"/>
        <v>6.0887265996530315</v>
      </c>
      <c r="AF179" s="24"/>
      <c r="AG179" s="202"/>
      <c r="AH179" s="191"/>
      <c r="AI179" s="37"/>
      <c r="AJ179" s="203"/>
      <c r="AK179" s="31"/>
      <c r="AL179" s="24"/>
      <c r="AM179" s="202"/>
      <c r="AN179" s="191"/>
      <c r="AO179" s="37"/>
      <c r="AP179" s="37"/>
      <c r="AQ179" s="37"/>
      <c r="AR179" s="24"/>
      <c r="AS179" s="202"/>
      <c r="AT179" s="191"/>
      <c r="AU179" s="24"/>
      <c r="AV179" s="202"/>
      <c r="AW179" s="191"/>
      <c r="AX179" s="24"/>
      <c r="AY179" s="202"/>
      <c r="AZ179" s="191"/>
      <c r="BA179" s="23"/>
      <c r="BB179" s="23"/>
      <c r="BC179" s="23"/>
      <c r="BD179" s="23"/>
      <c r="BE179" s="23"/>
      <c r="BF179" s="23"/>
      <c r="BG179" s="23"/>
      <c r="BH179" s="23"/>
      <c r="BI179" s="23"/>
      <c r="BJ179" s="24"/>
      <c r="BK179" s="202"/>
      <c r="BL179" s="191"/>
      <c r="BM179" s="37"/>
      <c r="BN179" s="203"/>
      <c r="BO179" s="31"/>
      <c r="BP179" s="24"/>
      <c r="BQ179" s="202"/>
      <c r="BR179" s="191"/>
      <c r="BS179" s="37"/>
      <c r="BT179" s="37"/>
      <c r="BU179" s="37"/>
      <c r="BV179" s="24"/>
      <c r="BW179" s="202"/>
      <c r="BX179" s="191"/>
      <c r="BY179" s="24"/>
      <c r="BZ179" s="202"/>
      <c r="CA179" s="191"/>
      <c r="CB179" s="24"/>
      <c r="CC179" s="202"/>
      <c r="CD179" s="191"/>
    </row>
    <row r="180" spans="1:82">
      <c r="A180" s="204">
        <v>44</v>
      </c>
      <c r="B180" s="205">
        <v>46</v>
      </c>
      <c r="C180" s="205">
        <v>63</v>
      </c>
      <c r="D180" s="205">
        <v>3</v>
      </c>
      <c r="E180" s="205">
        <v>3</v>
      </c>
      <c r="F180" s="205">
        <f t="shared" si="18"/>
        <v>3</v>
      </c>
      <c r="G180" s="206">
        <v>2</v>
      </c>
      <c r="H180" s="205">
        <v>0.10199999999999999</v>
      </c>
      <c r="I180" s="205">
        <v>24.6</v>
      </c>
      <c r="J180" s="207">
        <f t="shared" si="19"/>
        <v>0.41463414634146334</v>
      </c>
      <c r="K180" s="205">
        <f t="shared" si="20"/>
        <v>3.4559341463414626E-2</v>
      </c>
      <c r="L180" s="205">
        <f t="shared" si="21"/>
        <v>3.9760782021995822E-12</v>
      </c>
      <c r="M180" s="205">
        <f t="shared" si="22"/>
        <v>8691816334.069149</v>
      </c>
      <c r="N180" s="252">
        <f t="shared" si="23"/>
        <v>8.6918163340691486</v>
      </c>
      <c r="O180" s="207">
        <f t="shared" si="24"/>
        <v>0.41463414634146334</v>
      </c>
      <c r="P180" s="253">
        <f t="shared" si="25"/>
        <v>3.4559341463414626E-2</v>
      </c>
      <c r="Q180" s="254">
        <f t="shared" si="26"/>
        <v>8.6918163340691486</v>
      </c>
      <c r="AF180" s="24"/>
      <c r="AG180" s="202"/>
      <c r="AH180" s="191"/>
      <c r="AI180" s="37"/>
      <c r="AJ180" s="203"/>
      <c r="AK180" s="31"/>
      <c r="AL180" s="24"/>
      <c r="AM180" s="202"/>
      <c r="AN180" s="191"/>
      <c r="AO180" s="37"/>
      <c r="AP180" s="37"/>
      <c r="AQ180" s="37"/>
      <c r="AR180" s="24"/>
      <c r="AS180" s="202"/>
      <c r="AT180" s="191"/>
      <c r="AU180" s="24"/>
      <c r="AV180" s="202"/>
      <c r="AW180" s="191"/>
      <c r="AX180" s="24"/>
      <c r="AY180" s="202"/>
      <c r="AZ180" s="191"/>
      <c r="BA180" s="23"/>
      <c r="BB180" s="23"/>
      <c r="BC180" s="23"/>
      <c r="BD180" s="23"/>
      <c r="BE180" s="23"/>
      <c r="BF180" s="23"/>
      <c r="BG180" s="23"/>
      <c r="BH180" s="23"/>
      <c r="BI180" s="23"/>
      <c r="BJ180" s="24"/>
      <c r="BK180" s="202"/>
      <c r="BL180" s="191"/>
      <c r="BM180" s="37"/>
      <c r="BN180" s="203"/>
      <c r="BO180" s="31"/>
      <c r="BP180" s="24"/>
      <c r="BQ180" s="202"/>
      <c r="BR180" s="191"/>
      <c r="BS180" s="37"/>
      <c r="BT180" s="37"/>
      <c r="BU180" s="37"/>
      <c r="BV180" s="24"/>
      <c r="BW180" s="202"/>
      <c r="BX180" s="191"/>
      <c r="BY180" s="24"/>
      <c r="BZ180" s="202"/>
      <c r="CA180" s="191"/>
      <c r="CB180" s="24"/>
      <c r="CC180" s="202"/>
      <c r="CD180" s="191"/>
    </row>
    <row r="181" spans="1:82">
      <c r="A181" s="204">
        <v>44</v>
      </c>
      <c r="B181" s="205">
        <v>46</v>
      </c>
      <c r="C181" s="205">
        <v>63</v>
      </c>
      <c r="D181" s="205">
        <v>3</v>
      </c>
      <c r="E181" s="205">
        <v>3</v>
      </c>
      <c r="F181" s="205">
        <f t="shared" si="18"/>
        <v>3</v>
      </c>
      <c r="G181" s="206">
        <v>3</v>
      </c>
      <c r="H181" s="205">
        <v>0.114</v>
      </c>
      <c r="I181" s="205">
        <v>22.4</v>
      </c>
      <c r="J181" s="207">
        <f t="shared" si="19"/>
        <v>0.50892857142857151</v>
      </c>
      <c r="K181" s="205">
        <f t="shared" si="20"/>
        <v>4.2418687500000003E-2</v>
      </c>
      <c r="L181" s="205">
        <f t="shared" si="21"/>
        <v>3.9760782021995822E-12</v>
      </c>
      <c r="M181" s="205">
        <f t="shared" si="22"/>
        <v>10668474145.335928</v>
      </c>
      <c r="N181" s="252">
        <f t="shared" si="23"/>
        <v>10.668474145335928</v>
      </c>
      <c r="O181" s="207">
        <f t="shared" si="24"/>
        <v>0.50892857142857151</v>
      </c>
      <c r="P181" s="253">
        <f t="shared" si="25"/>
        <v>4.2418687500000003E-2</v>
      </c>
      <c r="Q181" s="254">
        <f t="shared" si="26"/>
        <v>10.668474145335928</v>
      </c>
      <c r="AF181" s="24"/>
      <c r="AG181" s="202"/>
      <c r="AH181" s="191"/>
      <c r="AI181" s="37"/>
      <c r="AJ181" s="203"/>
      <c r="AK181" s="31"/>
      <c r="AL181" s="24"/>
      <c r="AM181" s="202"/>
      <c r="AN181" s="191"/>
      <c r="AO181" s="37"/>
      <c r="AP181" s="37"/>
      <c r="AQ181" s="37"/>
      <c r="AR181" s="24"/>
      <c r="AS181" s="202"/>
      <c r="AT181" s="191"/>
      <c r="AU181" s="24"/>
      <c r="AV181" s="202"/>
      <c r="AW181" s="191"/>
      <c r="AX181" s="24"/>
      <c r="AY181" s="202"/>
      <c r="AZ181" s="191"/>
      <c r="BA181" s="23"/>
      <c r="BB181" s="23"/>
      <c r="BC181" s="23"/>
      <c r="BD181" s="23"/>
      <c r="BE181" s="23"/>
      <c r="BF181" s="23"/>
      <c r="BG181" s="23"/>
      <c r="BH181" s="23"/>
      <c r="BI181" s="23"/>
      <c r="BJ181" s="24"/>
      <c r="BK181" s="202"/>
      <c r="BL181" s="191"/>
      <c r="BM181" s="37"/>
      <c r="BN181" s="203"/>
      <c r="BO181" s="31"/>
      <c r="BP181" s="24"/>
      <c r="BQ181" s="202"/>
      <c r="BR181" s="191"/>
      <c r="BS181" s="37"/>
      <c r="BT181" s="37"/>
      <c r="BU181" s="37"/>
      <c r="BV181" s="24"/>
      <c r="BW181" s="202"/>
      <c r="BX181" s="191"/>
      <c r="BY181" s="24"/>
      <c r="BZ181" s="202"/>
      <c r="CA181" s="191"/>
      <c r="CB181" s="24"/>
      <c r="CC181" s="202"/>
      <c r="CD181" s="191"/>
    </row>
    <row r="182" spans="1:82">
      <c r="A182" s="204">
        <v>44</v>
      </c>
      <c r="B182" s="205">
        <v>46</v>
      </c>
      <c r="C182" s="205">
        <v>63</v>
      </c>
      <c r="D182" s="205">
        <v>3</v>
      </c>
      <c r="E182" s="205">
        <v>3</v>
      </c>
      <c r="F182" s="205">
        <f t="shared" si="18"/>
        <v>3</v>
      </c>
      <c r="G182" s="206">
        <v>4</v>
      </c>
      <c r="H182" s="205">
        <v>0.128</v>
      </c>
      <c r="I182" s="205">
        <v>25.7</v>
      </c>
      <c r="J182" s="207">
        <f t="shared" si="19"/>
        <v>0.49805447470817121</v>
      </c>
      <c r="K182" s="205">
        <f t="shared" si="20"/>
        <v>4.1512342412451365E-2</v>
      </c>
      <c r="L182" s="205">
        <f t="shared" si="21"/>
        <v>3.9760782021995822E-12</v>
      </c>
      <c r="M182" s="205">
        <f t="shared" si="22"/>
        <v>10440524632.912544</v>
      </c>
      <c r="N182" s="252">
        <f t="shared" si="23"/>
        <v>10.440524632912544</v>
      </c>
      <c r="O182" s="207">
        <f t="shared" si="24"/>
        <v>0.49805447470817121</v>
      </c>
      <c r="P182" s="253">
        <f t="shared" si="25"/>
        <v>4.1512342412451365E-2</v>
      </c>
      <c r="Q182" s="254">
        <f t="shared" si="26"/>
        <v>10.440524632912544</v>
      </c>
      <c r="AF182" s="24"/>
      <c r="AG182" s="202"/>
      <c r="AH182" s="191"/>
      <c r="AI182" s="37"/>
      <c r="AJ182" s="203"/>
      <c r="AK182" s="31"/>
      <c r="AL182" s="24"/>
      <c r="AM182" s="202"/>
      <c r="AN182" s="191"/>
      <c r="AO182" s="37"/>
      <c r="AP182" s="37"/>
      <c r="AQ182" s="37"/>
      <c r="AR182" s="24"/>
      <c r="AS182" s="202"/>
      <c r="AT182" s="191"/>
      <c r="AU182" s="24"/>
      <c r="AV182" s="202"/>
      <c r="AW182" s="191"/>
      <c r="AX182" s="24"/>
      <c r="AY182" s="202"/>
      <c r="AZ182" s="191"/>
      <c r="BA182" s="23"/>
      <c r="BB182" s="23"/>
      <c r="BC182" s="23"/>
      <c r="BD182" s="23"/>
      <c r="BE182" s="23"/>
      <c r="BF182" s="23"/>
      <c r="BG182" s="23"/>
      <c r="BH182" s="23"/>
      <c r="BI182" s="23"/>
      <c r="BJ182" s="24"/>
      <c r="BK182" s="202"/>
      <c r="BL182" s="191"/>
      <c r="BM182" s="37"/>
      <c r="BN182" s="203"/>
      <c r="BO182" s="31"/>
      <c r="BP182" s="24"/>
      <c r="BQ182" s="202"/>
      <c r="BR182" s="191"/>
      <c r="BS182" s="37"/>
      <c r="BT182" s="37"/>
      <c r="BU182" s="37"/>
      <c r="BV182" s="24"/>
      <c r="BW182" s="202"/>
      <c r="BX182" s="191"/>
      <c r="BY182" s="24"/>
      <c r="BZ182" s="202"/>
      <c r="CA182" s="191"/>
      <c r="CB182" s="24"/>
      <c r="CC182" s="202"/>
      <c r="CD182" s="191"/>
    </row>
    <row r="183" spans="1:82">
      <c r="A183" s="81">
        <v>45</v>
      </c>
      <c r="B183" s="82">
        <v>41.5</v>
      </c>
      <c r="C183" s="82">
        <v>61</v>
      </c>
      <c r="D183" s="82">
        <v>3.5</v>
      </c>
      <c r="E183" s="82">
        <v>2.5</v>
      </c>
      <c r="F183" s="82">
        <f t="shared" si="18"/>
        <v>3</v>
      </c>
      <c r="G183" s="200">
        <v>1</v>
      </c>
      <c r="H183" s="82">
        <v>8.1000000000000003E-2</v>
      </c>
      <c r="I183" s="82">
        <v>22.8</v>
      </c>
      <c r="J183" s="179">
        <f t="shared" si="19"/>
        <v>0.35526315789473684</v>
      </c>
      <c r="K183" s="82">
        <f t="shared" si="20"/>
        <v>2.6879328947368417E-2</v>
      </c>
      <c r="L183" s="3">
        <f t="shared" si="21"/>
        <v>3.9760782021995822E-12</v>
      </c>
      <c r="M183" s="3">
        <f t="shared" si="22"/>
        <v>6760261639.8486996</v>
      </c>
      <c r="N183" s="29">
        <f t="shared" si="23"/>
        <v>6.7602616398486992</v>
      </c>
      <c r="O183" s="30">
        <f t="shared" si="24"/>
        <v>0.35526315789473684</v>
      </c>
      <c r="P183" s="175">
        <f t="shared" si="25"/>
        <v>2.6879328947368417E-2</v>
      </c>
      <c r="Q183" s="26">
        <f t="shared" si="26"/>
        <v>6.7602616398486992</v>
      </c>
      <c r="AF183" s="24"/>
      <c r="AG183" s="202"/>
      <c r="AH183" s="191"/>
      <c r="AI183" s="37"/>
      <c r="AJ183" s="203"/>
      <c r="AK183" s="31"/>
      <c r="AL183" s="24"/>
      <c r="AM183" s="202"/>
      <c r="AN183" s="191"/>
      <c r="AO183" s="37"/>
      <c r="AP183" s="37"/>
      <c r="AQ183" s="37"/>
      <c r="AR183" s="24"/>
      <c r="AS183" s="202"/>
      <c r="AT183" s="191"/>
      <c r="AU183" s="24"/>
      <c r="AV183" s="202"/>
      <c r="AW183" s="191"/>
      <c r="AX183" s="24"/>
      <c r="AY183" s="202"/>
      <c r="AZ183" s="191"/>
      <c r="BA183" s="23"/>
      <c r="BB183" s="23"/>
      <c r="BC183" s="23"/>
      <c r="BD183" s="23"/>
      <c r="BE183" s="23"/>
      <c r="BF183" s="23"/>
      <c r="BG183" s="23"/>
      <c r="BH183" s="23"/>
      <c r="BI183" s="23"/>
      <c r="BJ183" s="24"/>
      <c r="BK183" s="202"/>
      <c r="BL183" s="191"/>
      <c r="BM183" s="37"/>
      <c r="BN183" s="203"/>
      <c r="BO183" s="31"/>
      <c r="BP183" s="24"/>
      <c r="BQ183" s="202"/>
      <c r="BR183" s="191"/>
      <c r="BS183" s="37"/>
      <c r="BT183" s="37"/>
      <c r="BU183" s="37"/>
      <c r="BV183" s="24"/>
      <c r="BW183" s="202"/>
      <c r="BX183" s="191"/>
      <c r="BY183" s="24"/>
      <c r="BZ183" s="202"/>
      <c r="CA183" s="191"/>
      <c r="CB183" s="24"/>
      <c r="CC183" s="202"/>
      <c r="CD183" s="191"/>
    </row>
    <row r="184" spans="1:82">
      <c r="A184" s="81">
        <v>45</v>
      </c>
      <c r="B184" s="82">
        <v>41.5</v>
      </c>
      <c r="C184" s="82">
        <v>61</v>
      </c>
      <c r="D184" s="82">
        <v>3.5</v>
      </c>
      <c r="E184" s="82">
        <v>2.5</v>
      </c>
      <c r="F184" s="82">
        <f t="shared" si="18"/>
        <v>3</v>
      </c>
      <c r="G184" s="200">
        <v>2</v>
      </c>
      <c r="H184" s="82">
        <v>0.104</v>
      </c>
      <c r="I184" s="82">
        <v>24.6</v>
      </c>
      <c r="J184" s="179">
        <f t="shared" si="19"/>
        <v>0.42276422764227634</v>
      </c>
      <c r="K184" s="82">
        <f t="shared" si="20"/>
        <v>3.1986482384823843E-2</v>
      </c>
      <c r="L184" s="3">
        <f t="shared" si="21"/>
        <v>3.9760782021995822E-12</v>
      </c>
      <c r="M184" s="3">
        <f t="shared" si="22"/>
        <v>8044731707.5224514</v>
      </c>
      <c r="N184" s="29">
        <f t="shared" si="23"/>
        <v>8.0447317075224518</v>
      </c>
      <c r="O184" s="30">
        <f t="shared" si="24"/>
        <v>0.42276422764227634</v>
      </c>
      <c r="P184" s="175">
        <f t="shared" si="25"/>
        <v>3.1986482384823843E-2</v>
      </c>
      <c r="Q184" s="26">
        <f t="shared" si="26"/>
        <v>8.0447317075224518</v>
      </c>
      <c r="AF184" s="24"/>
      <c r="AG184" s="202"/>
      <c r="AH184" s="191"/>
      <c r="AI184" s="37"/>
      <c r="AJ184" s="203"/>
      <c r="AK184" s="31"/>
      <c r="AL184" s="24"/>
      <c r="AM184" s="202"/>
      <c r="AN184" s="191"/>
      <c r="AO184" s="37"/>
      <c r="AP184" s="37"/>
      <c r="AQ184" s="37"/>
      <c r="AR184" s="24"/>
      <c r="AS184" s="202"/>
      <c r="AT184" s="191"/>
      <c r="AU184" s="24"/>
      <c r="AV184" s="202"/>
      <c r="AW184" s="191"/>
      <c r="AX184" s="24"/>
      <c r="AY184" s="202"/>
      <c r="AZ184" s="191"/>
      <c r="BA184" s="23"/>
      <c r="BB184" s="23"/>
      <c r="BC184" s="23"/>
      <c r="BD184" s="23"/>
      <c r="BE184" s="23"/>
      <c r="BF184" s="23"/>
      <c r="BG184" s="23"/>
      <c r="BH184" s="23"/>
      <c r="BI184" s="23"/>
      <c r="BJ184" s="24"/>
      <c r="BK184" s="202"/>
      <c r="BL184" s="191"/>
      <c r="BM184" s="37"/>
      <c r="BN184" s="203"/>
      <c r="BO184" s="31"/>
      <c r="BP184" s="24"/>
      <c r="BQ184" s="202"/>
      <c r="BR184" s="191"/>
      <c r="BS184" s="37"/>
      <c r="BT184" s="37"/>
      <c r="BU184" s="37"/>
      <c r="BV184" s="24"/>
      <c r="BW184" s="202"/>
      <c r="BX184" s="191"/>
      <c r="BY184" s="24"/>
      <c r="BZ184" s="202"/>
      <c r="CA184" s="191"/>
      <c r="CB184" s="24"/>
      <c r="CC184" s="202"/>
      <c r="CD184" s="191"/>
    </row>
    <row r="185" spans="1:82">
      <c r="A185" s="81">
        <v>45</v>
      </c>
      <c r="B185" s="82">
        <v>41.5</v>
      </c>
      <c r="C185" s="82">
        <v>61</v>
      </c>
      <c r="D185" s="82">
        <v>3.5</v>
      </c>
      <c r="E185" s="82">
        <v>2.5</v>
      </c>
      <c r="F185" s="82">
        <f t="shared" si="18"/>
        <v>3</v>
      </c>
      <c r="G185" s="200">
        <v>3</v>
      </c>
      <c r="H185" s="82">
        <v>7.2999999999999995E-2</v>
      </c>
      <c r="I185" s="82">
        <v>24.5</v>
      </c>
      <c r="J185" s="179">
        <f t="shared" si="19"/>
        <v>0.29795918367346935</v>
      </c>
      <c r="K185" s="82">
        <f t="shared" si="20"/>
        <v>2.254369115646258E-2</v>
      </c>
      <c r="L185" s="3">
        <f t="shared" si="21"/>
        <v>3.9760782021995822E-12</v>
      </c>
      <c r="M185" s="3">
        <f t="shared" si="22"/>
        <v>5669830926.3613882</v>
      </c>
      <c r="N185" s="29">
        <f t="shared" si="23"/>
        <v>5.6698309263613886</v>
      </c>
      <c r="O185" s="30">
        <f t="shared" si="24"/>
        <v>0.29795918367346935</v>
      </c>
      <c r="P185" s="175">
        <f t="shared" si="25"/>
        <v>2.254369115646258E-2</v>
      </c>
      <c r="Q185" s="26">
        <f t="shared" si="26"/>
        <v>5.6698309263613886</v>
      </c>
      <c r="AF185" s="24"/>
      <c r="AG185" s="202"/>
      <c r="AH185" s="191"/>
      <c r="AI185" s="37"/>
      <c r="AJ185" s="203"/>
      <c r="AK185" s="31"/>
      <c r="AL185" s="24"/>
      <c r="AM185" s="202"/>
      <c r="AN185" s="191"/>
      <c r="AO185" s="37"/>
      <c r="AP185" s="37"/>
      <c r="AQ185" s="37"/>
      <c r="AR185" s="24"/>
      <c r="AS185" s="202"/>
      <c r="AT185" s="191"/>
      <c r="AU185" s="24"/>
      <c r="AV185" s="202"/>
      <c r="AW185" s="191"/>
      <c r="AX185" s="24"/>
      <c r="AY185" s="202"/>
      <c r="AZ185" s="191"/>
      <c r="BA185" s="23"/>
      <c r="BB185" s="23"/>
      <c r="BC185" s="23"/>
      <c r="BD185" s="23"/>
      <c r="BE185" s="23"/>
      <c r="BF185" s="23"/>
      <c r="BG185" s="23"/>
      <c r="BH185" s="23"/>
      <c r="BI185" s="23"/>
      <c r="BJ185" s="24"/>
      <c r="BK185" s="202"/>
      <c r="BL185" s="191"/>
      <c r="BM185" s="37"/>
      <c r="BN185" s="203"/>
      <c r="BO185" s="31"/>
      <c r="BP185" s="24"/>
      <c r="BQ185" s="202"/>
      <c r="BR185" s="191"/>
      <c r="BS185" s="37"/>
      <c r="BT185" s="37"/>
      <c r="BU185" s="37"/>
      <c r="BV185" s="24"/>
      <c r="BW185" s="202"/>
      <c r="BX185" s="191"/>
      <c r="BY185" s="24"/>
      <c r="BZ185" s="202"/>
      <c r="CA185" s="191"/>
      <c r="CB185" s="24"/>
      <c r="CC185" s="202"/>
      <c r="CD185" s="191"/>
    </row>
    <row r="186" spans="1:82">
      <c r="A186" s="81">
        <v>45</v>
      </c>
      <c r="B186" s="82">
        <v>41.5</v>
      </c>
      <c r="C186" s="82">
        <v>61</v>
      </c>
      <c r="D186" s="82">
        <v>3.5</v>
      </c>
      <c r="E186" s="82">
        <v>2.5</v>
      </c>
      <c r="F186" s="82">
        <f t="shared" si="18"/>
        <v>3</v>
      </c>
      <c r="G186" s="200">
        <v>4</v>
      </c>
      <c r="H186" s="82">
        <v>0.08</v>
      </c>
      <c r="I186" s="82">
        <v>24.5</v>
      </c>
      <c r="J186" s="179">
        <f t="shared" si="19"/>
        <v>0.32653061224489799</v>
      </c>
      <c r="K186" s="82">
        <f t="shared" si="20"/>
        <v>2.4705414965986397E-2</v>
      </c>
      <c r="L186" s="3">
        <f t="shared" si="21"/>
        <v>3.9760782021995822E-12</v>
      </c>
      <c r="M186" s="3">
        <f t="shared" si="22"/>
        <v>6213513343.9576874</v>
      </c>
      <c r="N186" s="29">
        <f t="shared" si="23"/>
        <v>6.2135133439576871</v>
      </c>
      <c r="O186" s="30">
        <f t="shared" si="24"/>
        <v>0.32653061224489799</v>
      </c>
      <c r="P186" s="175">
        <f t="shared" si="25"/>
        <v>2.4705414965986397E-2</v>
      </c>
      <c r="Q186" s="26">
        <f t="shared" si="26"/>
        <v>6.2135133439576871</v>
      </c>
      <c r="AF186" s="24"/>
      <c r="AG186" s="202"/>
      <c r="AH186" s="191"/>
      <c r="AI186" s="37"/>
      <c r="AJ186" s="203"/>
      <c r="AK186" s="31"/>
      <c r="AL186" s="24"/>
      <c r="AM186" s="202"/>
      <c r="AN186" s="191"/>
      <c r="AO186" s="37"/>
      <c r="AP186" s="37"/>
      <c r="AQ186" s="37"/>
      <c r="AR186" s="24"/>
      <c r="AS186" s="202"/>
      <c r="AT186" s="191"/>
      <c r="AU186" s="24"/>
      <c r="AV186" s="202"/>
      <c r="AW186" s="191"/>
      <c r="AX186" s="24"/>
      <c r="AY186" s="202"/>
      <c r="AZ186" s="191"/>
      <c r="BA186" s="23"/>
      <c r="BB186" s="23"/>
      <c r="BC186" s="23"/>
      <c r="BD186" s="23"/>
      <c r="BE186" s="23"/>
      <c r="BF186" s="23"/>
      <c r="BG186" s="23"/>
      <c r="BH186" s="23"/>
      <c r="BI186" s="23"/>
      <c r="BJ186" s="24"/>
      <c r="BK186" s="202"/>
      <c r="BL186" s="191"/>
      <c r="BM186" s="37"/>
      <c r="BN186" s="203"/>
      <c r="BO186" s="31"/>
      <c r="BP186" s="24"/>
      <c r="BQ186" s="202"/>
      <c r="BR186" s="191"/>
      <c r="BS186" s="37"/>
      <c r="BT186" s="37"/>
      <c r="BU186" s="37"/>
      <c r="BV186" s="24"/>
      <c r="BW186" s="202"/>
      <c r="BX186" s="191"/>
      <c r="BY186" s="24"/>
      <c r="BZ186" s="202"/>
      <c r="CA186" s="191"/>
      <c r="CB186" s="24"/>
      <c r="CC186" s="202"/>
      <c r="CD186" s="191"/>
    </row>
    <row r="187" spans="1:82">
      <c r="A187" s="204">
        <v>46</v>
      </c>
      <c r="B187" s="205">
        <v>32.5</v>
      </c>
      <c r="C187" s="205">
        <v>59</v>
      </c>
      <c r="D187" s="205">
        <v>4</v>
      </c>
      <c r="E187" s="205">
        <v>3</v>
      </c>
      <c r="F187" s="205">
        <f>AVERAGE(D187:E187)</f>
        <v>3.5</v>
      </c>
      <c r="G187" s="206">
        <v>1</v>
      </c>
      <c r="H187" s="205">
        <v>0.122</v>
      </c>
      <c r="I187" s="205">
        <v>24.6</v>
      </c>
      <c r="J187" s="207">
        <f t="shared" si="19"/>
        <v>0.49593495934959342</v>
      </c>
      <c r="K187" s="205">
        <f t="shared" si="20"/>
        <v>3.3951542005420048E-2</v>
      </c>
      <c r="L187" s="205">
        <f t="shared" si="21"/>
        <v>7.3661757434268517E-12</v>
      </c>
      <c r="M187" s="205">
        <f t="shared" si="22"/>
        <v>4609113763.7757874</v>
      </c>
      <c r="N187" s="252">
        <f t="shared" si="23"/>
        <v>4.6091137637757873</v>
      </c>
      <c r="O187" s="207">
        <f t="shared" si="24"/>
        <v>0.49593495934959342</v>
      </c>
      <c r="P187" s="253">
        <f t="shared" si="25"/>
        <v>3.3951542005420048E-2</v>
      </c>
      <c r="Q187" s="254">
        <f t="shared" si="26"/>
        <v>4.6091137637757873</v>
      </c>
      <c r="AF187" s="24"/>
      <c r="AG187" s="202"/>
      <c r="AH187" s="191"/>
      <c r="AI187" s="37"/>
      <c r="AJ187" s="203"/>
      <c r="AK187" s="31"/>
      <c r="AL187" s="24"/>
      <c r="AM187" s="202"/>
      <c r="AN187" s="191"/>
      <c r="AO187" s="37"/>
      <c r="AP187" s="37"/>
      <c r="AQ187" s="37"/>
      <c r="AR187" s="24"/>
      <c r="AS187" s="202"/>
      <c r="AT187" s="191"/>
      <c r="AU187" s="24"/>
      <c r="AV187" s="202"/>
      <c r="AW187" s="191"/>
      <c r="AX187" s="24"/>
      <c r="AY187" s="202"/>
      <c r="AZ187" s="191"/>
      <c r="BA187" s="23"/>
      <c r="BB187" s="23"/>
      <c r="BC187" s="23"/>
      <c r="BD187" s="23"/>
      <c r="BE187" s="23"/>
      <c r="BF187" s="23"/>
      <c r="BG187" s="23"/>
      <c r="BH187" s="23"/>
      <c r="BI187" s="23"/>
      <c r="BJ187" s="24"/>
      <c r="BK187" s="202"/>
      <c r="BL187" s="191"/>
      <c r="BM187" s="37"/>
      <c r="BN187" s="203"/>
      <c r="BO187" s="31"/>
      <c r="BP187" s="24"/>
      <c r="BQ187" s="202"/>
      <c r="BR187" s="191"/>
      <c r="BS187" s="37"/>
      <c r="BT187" s="37"/>
      <c r="BU187" s="37"/>
      <c r="BV187" s="24"/>
      <c r="BW187" s="202"/>
      <c r="BX187" s="191"/>
      <c r="BY187" s="24"/>
      <c r="BZ187" s="202"/>
      <c r="CA187" s="191"/>
      <c r="CB187" s="24"/>
      <c r="CC187" s="202"/>
      <c r="CD187" s="191"/>
    </row>
    <row r="188" spans="1:82">
      <c r="A188" s="204">
        <v>46</v>
      </c>
      <c r="B188" s="205">
        <v>32.5</v>
      </c>
      <c r="C188" s="205">
        <v>59</v>
      </c>
      <c r="D188" s="205">
        <v>4</v>
      </c>
      <c r="E188" s="205">
        <v>3</v>
      </c>
      <c r="F188" s="205">
        <f t="shared" ref="F188:F246" si="27">AVERAGE(D188:E188)</f>
        <v>3.5</v>
      </c>
      <c r="G188" s="206">
        <v>2</v>
      </c>
      <c r="H188" s="205">
        <v>7.2999999999999995E-2</v>
      </c>
      <c r="I188" s="205">
        <v>25.5</v>
      </c>
      <c r="J188" s="207">
        <f t="shared" si="19"/>
        <v>0.28627450980392155</v>
      </c>
      <c r="K188" s="205">
        <f t="shared" si="20"/>
        <v>1.9598257516339864E-2</v>
      </c>
      <c r="L188" s="205">
        <f t="shared" si="21"/>
        <v>7.3661757434268517E-12</v>
      </c>
      <c r="M188" s="205">
        <f t="shared" si="22"/>
        <v>2660574251.6838827</v>
      </c>
      <c r="N188" s="252">
        <f t="shared" si="23"/>
        <v>2.6605742516838826</v>
      </c>
      <c r="O188" s="207">
        <f t="shared" si="24"/>
        <v>0.28627450980392155</v>
      </c>
      <c r="P188" s="253">
        <f t="shared" si="25"/>
        <v>1.9598257516339864E-2</v>
      </c>
      <c r="Q188" s="254">
        <f t="shared" si="26"/>
        <v>2.6605742516838826</v>
      </c>
      <c r="AF188" s="24"/>
      <c r="AG188" s="202"/>
      <c r="AH188" s="191"/>
      <c r="AI188" s="37"/>
      <c r="AJ188" s="203"/>
      <c r="AK188" s="31"/>
      <c r="AL188" s="24"/>
      <c r="AM188" s="202"/>
      <c r="AN188" s="191"/>
      <c r="AO188" s="37"/>
      <c r="AP188" s="37"/>
      <c r="AQ188" s="37"/>
      <c r="AR188" s="24"/>
      <c r="AS188" s="202"/>
      <c r="AT188" s="191"/>
      <c r="AU188" s="24"/>
      <c r="AV188" s="202"/>
      <c r="AW188" s="191"/>
      <c r="AX188" s="24"/>
      <c r="AY188" s="202"/>
      <c r="AZ188" s="191"/>
      <c r="BA188" s="23"/>
      <c r="BB188" s="23"/>
      <c r="BC188" s="23"/>
      <c r="BD188" s="23"/>
      <c r="BE188" s="23"/>
      <c r="BF188" s="23"/>
      <c r="BG188" s="23"/>
      <c r="BH188" s="23"/>
      <c r="BI188" s="23"/>
      <c r="BJ188" s="24"/>
      <c r="BK188" s="202"/>
      <c r="BL188" s="191"/>
      <c r="BM188" s="37"/>
      <c r="BN188" s="203"/>
      <c r="BO188" s="31"/>
      <c r="BP188" s="24"/>
      <c r="BQ188" s="202"/>
      <c r="BR188" s="191"/>
      <c r="BS188" s="37"/>
      <c r="BT188" s="37"/>
      <c r="BU188" s="37"/>
      <c r="BV188" s="24"/>
      <c r="BW188" s="202"/>
      <c r="BX188" s="191"/>
      <c r="BY188" s="24"/>
      <c r="BZ188" s="202"/>
      <c r="CA188" s="191"/>
      <c r="CB188" s="24"/>
      <c r="CC188" s="202"/>
      <c r="CD188" s="191"/>
    </row>
    <row r="189" spans="1:82">
      <c r="A189" s="204">
        <v>46</v>
      </c>
      <c r="B189" s="205">
        <v>32.5</v>
      </c>
      <c r="C189" s="205">
        <v>59</v>
      </c>
      <c r="D189" s="205">
        <v>4</v>
      </c>
      <c r="E189" s="205">
        <v>3</v>
      </c>
      <c r="F189" s="205">
        <f t="shared" si="27"/>
        <v>3.5</v>
      </c>
      <c r="G189" s="206">
        <v>3</v>
      </c>
      <c r="H189" s="205">
        <v>7.2999999999999995E-2</v>
      </c>
      <c r="I189" s="205">
        <v>25.7</v>
      </c>
      <c r="J189" s="207">
        <f t="shared" si="19"/>
        <v>0.28404669260700388</v>
      </c>
      <c r="K189" s="205">
        <f t="shared" si="20"/>
        <v>1.9445741893644616E-2</v>
      </c>
      <c r="L189" s="205">
        <f t="shared" si="21"/>
        <v>7.3661757434268517E-12</v>
      </c>
      <c r="M189" s="205">
        <f t="shared" si="22"/>
        <v>2639869393.6941252</v>
      </c>
      <c r="N189" s="252">
        <f t="shared" si="23"/>
        <v>2.6398693936941253</v>
      </c>
      <c r="O189" s="207">
        <f t="shared" si="24"/>
        <v>0.28404669260700388</v>
      </c>
      <c r="P189" s="253">
        <f t="shared" si="25"/>
        <v>1.9445741893644616E-2</v>
      </c>
      <c r="Q189" s="254">
        <f t="shared" si="26"/>
        <v>2.6398693936941253</v>
      </c>
      <c r="AF189" s="24"/>
      <c r="AG189" s="202"/>
      <c r="AH189" s="191"/>
      <c r="AI189" s="37"/>
      <c r="AJ189" s="203"/>
      <c r="AK189" s="31"/>
      <c r="AL189" s="24"/>
      <c r="AM189" s="202"/>
      <c r="AN189" s="191"/>
      <c r="AO189" s="37"/>
      <c r="AP189" s="37"/>
      <c r="AQ189" s="37"/>
      <c r="AR189" s="24"/>
      <c r="AS189" s="202"/>
      <c r="AT189" s="191"/>
      <c r="AU189" s="24"/>
      <c r="AV189" s="202"/>
      <c r="AW189" s="191"/>
      <c r="AX189" s="24"/>
      <c r="AY189" s="202"/>
      <c r="AZ189" s="191"/>
      <c r="BA189" s="23"/>
      <c r="BB189" s="23"/>
      <c r="BC189" s="23"/>
      <c r="BD189" s="23"/>
      <c r="BE189" s="23"/>
      <c r="BF189" s="23"/>
      <c r="BG189" s="23"/>
      <c r="BH189" s="23"/>
      <c r="BI189" s="23"/>
      <c r="BJ189" s="24"/>
      <c r="BK189" s="202"/>
      <c r="BL189" s="191"/>
      <c r="BM189" s="37"/>
      <c r="BN189" s="203"/>
      <c r="BO189" s="31"/>
      <c r="BP189" s="24"/>
      <c r="BQ189" s="202"/>
      <c r="BR189" s="191"/>
      <c r="BS189" s="37"/>
      <c r="BT189" s="37"/>
      <c r="BU189" s="37"/>
      <c r="BV189" s="24"/>
      <c r="BW189" s="202"/>
      <c r="BX189" s="191"/>
      <c r="BY189" s="24"/>
      <c r="BZ189" s="202"/>
      <c r="CA189" s="191"/>
      <c r="CB189" s="24"/>
      <c r="CC189" s="202"/>
      <c r="CD189" s="191"/>
    </row>
    <row r="190" spans="1:82">
      <c r="A190" s="204">
        <v>46</v>
      </c>
      <c r="B190" s="205">
        <v>32.5</v>
      </c>
      <c r="C190" s="205">
        <v>59</v>
      </c>
      <c r="D190" s="205">
        <v>4</v>
      </c>
      <c r="E190" s="205">
        <v>3</v>
      </c>
      <c r="F190" s="205">
        <f t="shared" si="27"/>
        <v>3.5</v>
      </c>
      <c r="G190" s="206">
        <v>4</v>
      </c>
      <c r="H190" s="205">
        <v>1.9E-2</v>
      </c>
      <c r="I190" s="205">
        <v>26</v>
      </c>
      <c r="J190" s="207">
        <f t="shared" si="19"/>
        <v>7.3076923076923067E-2</v>
      </c>
      <c r="K190" s="205">
        <f t="shared" si="20"/>
        <v>5.0028217948717936E-3</v>
      </c>
      <c r="L190" s="205">
        <f t="shared" si="21"/>
        <v>7.3661757434268517E-12</v>
      </c>
      <c r="M190" s="205">
        <f t="shared" si="22"/>
        <v>679161340.85397327</v>
      </c>
      <c r="N190" s="252">
        <f t="shared" si="23"/>
        <v>0.67916134085397328</v>
      </c>
      <c r="O190" s="207">
        <f t="shared" si="24"/>
        <v>7.3076923076923067E-2</v>
      </c>
      <c r="P190" s="253">
        <f t="shared" si="25"/>
        <v>5.0028217948717936E-3</v>
      </c>
      <c r="Q190" s="254">
        <f t="shared" si="26"/>
        <v>0.67916134085397328</v>
      </c>
      <c r="AF190" s="24"/>
      <c r="AG190" s="202"/>
      <c r="AH190" s="191"/>
      <c r="AI190" s="37"/>
      <c r="AJ190" s="203"/>
      <c r="AK190" s="31"/>
      <c r="AL190" s="24"/>
      <c r="AM190" s="202"/>
      <c r="AN190" s="191"/>
      <c r="AO190" s="37"/>
      <c r="AP190" s="37"/>
      <c r="AQ190" s="37"/>
      <c r="AR190" s="24"/>
      <c r="AS190" s="202"/>
      <c r="AT190" s="191"/>
      <c r="AU190" s="24"/>
      <c r="AV190" s="202"/>
      <c r="AW190" s="191"/>
      <c r="AX190" s="24"/>
      <c r="AY190" s="202"/>
      <c r="AZ190" s="191"/>
      <c r="BA190" s="23"/>
      <c r="BB190" s="23"/>
      <c r="BC190" s="23"/>
      <c r="BD190" s="23"/>
      <c r="BE190" s="23"/>
      <c r="BF190" s="23"/>
      <c r="BG190" s="23"/>
      <c r="BH190" s="23"/>
      <c r="BI190" s="23"/>
      <c r="BJ190" s="24"/>
      <c r="BK190" s="202"/>
      <c r="BL190" s="191"/>
      <c r="BM190" s="37"/>
      <c r="BN190" s="203"/>
      <c r="BO190" s="31"/>
      <c r="BP190" s="24"/>
      <c r="BQ190" s="202"/>
      <c r="BR190" s="191"/>
      <c r="BS190" s="37"/>
      <c r="BT190" s="37"/>
      <c r="BU190" s="37"/>
      <c r="BV190" s="24"/>
      <c r="BW190" s="202"/>
      <c r="BX190" s="191"/>
      <c r="BY190" s="24"/>
      <c r="BZ190" s="202"/>
      <c r="CA190" s="191"/>
      <c r="CB190" s="24"/>
      <c r="CC190" s="202"/>
      <c r="CD190" s="191"/>
    </row>
    <row r="191" spans="1:82">
      <c r="A191" s="81">
        <v>47</v>
      </c>
      <c r="B191" s="82">
        <v>33.5</v>
      </c>
      <c r="C191" s="82">
        <v>55</v>
      </c>
      <c r="D191" s="82">
        <v>3.5</v>
      </c>
      <c r="E191" s="82">
        <v>2.5</v>
      </c>
      <c r="F191" s="82">
        <f t="shared" si="27"/>
        <v>3</v>
      </c>
      <c r="G191" s="200">
        <v>1</v>
      </c>
      <c r="H191" s="82">
        <v>0.122</v>
      </c>
      <c r="I191" s="82">
        <v>21.7</v>
      </c>
      <c r="J191" s="179">
        <f t="shared" si="19"/>
        <v>0.56221198156682028</v>
      </c>
      <c r="K191" s="82">
        <f t="shared" si="20"/>
        <v>3.1179339477726584E-2</v>
      </c>
      <c r="L191" s="3">
        <f t="shared" si="21"/>
        <v>3.9760782021995822E-12</v>
      </c>
      <c r="M191" s="3">
        <f t="shared" si="22"/>
        <v>7841731950.9656649</v>
      </c>
      <c r="N191" s="29">
        <f t="shared" si="23"/>
        <v>7.8417319509656647</v>
      </c>
      <c r="O191" s="30">
        <f t="shared" si="24"/>
        <v>0.56221198156682028</v>
      </c>
      <c r="P191" s="175">
        <f t="shared" si="25"/>
        <v>3.1179339477726584E-2</v>
      </c>
      <c r="Q191" s="26">
        <f t="shared" si="26"/>
        <v>7.8417319509656647</v>
      </c>
      <c r="AF191" s="24"/>
      <c r="AG191" s="202"/>
      <c r="AH191" s="191"/>
      <c r="AI191" s="37"/>
      <c r="AJ191" s="203"/>
      <c r="AK191" s="31"/>
      <c r="AL191" s="24"/>
      <c r="AM191" s="202"/>
      <c r="AN191" s="191"/>
      <c r="AO191" s="37"/>
      <c r="AP191" s="37"/>
      <c r="AQ191" s="37"/>
      <c r="AR191" s="24"/>
      <c r="AS191" s="202"/>
      <c r="AT191" s="191"/>
      <c r="AU191" s="24"/>
      <c r="AV191" s="202"/>
      <c r="AW191" s="191"/>
      <c r="AX191" s="24"/>
      <c r="AY191" s="202"/>
      <c r="AZ191" s="191"/>
      <c r="BA191" s="23"/>
      <c r="BB191" s="23"/>
      <c r="BC191" s="23"/>
      <c r="BD191" s="23"/>
      <c r="BE191" s="23"/>
      <c r="BF191" s="23"/>
      <c r="BG191" s="23"/>
      <c r="BH191" s="23"/>
      <c r="BI191" s="23"/>
      <c r="BJ191" s="24"/>
      <c r="BK191" s="202"/>
      <c r="BL191" s="191"/>
      <c r="BM191" s="37"/>
      <c r="BN191" s="203"/>
      <c r="BO191" s="31"/>
      <c r="BP191" s="24"/>
      <c r="BQ191" s="202"/>
      <c r="BR191" s="191"/>
      <c r="BS191" s="37"/>
      <c r="BT191" s="37"/>
      <c r="BU191" s="37"/>
      <c r="BV191" s="24"/>
      <c r="BW191" s="202"/>
      <c r="BX191" s="191"/>
      <c r="BY191" s="24"/>
      <c r="BZ191" s="202"/>
      <c r="CA191" s="191"/>
      <c r="CB191" s="24"/>
      <c r="CC191" s="202"/>
      <c r="CD191" s="191"/>
    </row>
    <row r="192" spans="1:82">
      <c r="A192" s="81">
        <v>47</v>
      </c>
      <c r="B192" s="82">
        <v>33.5</v>
      </c>
      <c r="C192" s="82">
        <v>55</v>
      </c>
      <c r="D192" s="82">
        <v>3.5</v>
      </c>
      <c r="E192" s="82">
        <v>2.5</v>
      </c>
      <c r="F192" s="82">
        <f t="shared" si="27"/>
        <v>3</v>
      </c>
      <c r="G192" s="200">
        <v>2</v>
      </c>
      <c r="H192" s="82">
        <v>0.11700000000000001</v>
      </c>
      <c r="I192" s="82">
        <v>24</v>
      </c>
      <c r="J192" s="179">
        <f t="shared" si="19"/>
        <v>0.48750000000000004</v>
      </c>
      <c r="K192" s="82">
        <f t="shared" si="20"/>
        <v>2.703593750000001E-2</v>
      </c>
      <c r="L192" s="3">
        <f t="shared" si="21"/>
        <v>3.9760782021995822E-12</v>
      </c>
      <c r="M192" s="3">
        <f t="shared" si="22"/>
        <v>6799649334.12115</v>
      </c>
      <c r="N192" s="29">
        <f t="shared" si="23"/>
        <v>6.7996493341211499</v>
      </c>
      <c r="O192" s="30">
        <f t="shared" si="24"/>
        <v>0.48750000000000004</v>
      </c>
      <c r="P192" s="175">
        <f t="shared" si="25"/>
        <v>2.703593750000001E-2</v>
      </c>
      <c r="Q192" s="26">
        <f t="shared" si="26"/>
        <v>6.7996493341211499</v>
      </c>
      <c r="AF192" s="24"/>
      <c r="AG192" s="202"/>
      <c r="AH192" s="191"/>
      <c r="AI192" s="37"/>
      <c r="AJ192" s="203"/>
      <c r="AK192" s="31"/>
      <c r="AL192" s="24"/>
      <c r="AM192" s="202"/>
      <c r="AN192" s="191"/>
      <c r="AO192" s="37"/>
      <c r="AP192" s="37"/>
      <c r="AQ192" s="37"/>
      <c r="AR192" s="24"/>
      <c r="AS192" s="202"/>
      <c r="AT192" s="191"/>
      <c r="AU192" s="24"/>
      <c r="AV192" s="202"/>
      <c r="AW192" s="191"/>
      <c r="AX192" s="24"/>
      <c r="AY192" s="202"/>
      <c r="AZ192" s="191"/>
      <c r="BA192" s="23"/>
      <c r="BB192" s="23"/>
      <c r="BC192" s="23"/>
      <c r="BD192" s="23"/>
      <c r="BE192" s="23"/>
      <c r="BF192" s="23"/>
      <c r="BG192" s="23"/>
      <c r="BH192" s="23"/>
      <c r="BI192" s="23"/>
      <c r="BJ192" s="24"/>
      <c r="BK192" s="202"/>
      <c r="BL192" s="191"/>
      <c r="BM192" s="37"/>
      <c r="BN192" s="203"/>
      <c r="BO192" s="31"/>
      <c r="BP192" s="24"/>
      <c r="BQ192" s="202"/>
      <c r="BR192" s="191"/>
      <c r="BS192" s="37"/>
      <c r="BT192" s="37"/>
      <c r="BU192" s="37"/>
      <c r="BV192" s="24"/>
      <c r="BW192" s="202"/>
      <c r="BX192" s="191"/>
      <c r="BY192" s="24"/>
      <c r="BZ192" s="202"/>
      <c r="CA192" s="191"/>
      <c r="CB192" s="24"/>
      <c r="CC192" s="202"/>
      <c r="CD192" s="191"/>
    </row>
    <row r="193" spans="1:82">
      <c r="A193" s="81">
        <v>47</v>
      </c>
      <c r="B193" s="82">
        <v>33.5</v>
      </c>
      <c r="C193" s="82">
        <v>55</v>
      </c>
      <c r="D193" s="82">
        <v>3.5</v>
      </c>
      <c r="E193" s="82">
        <v>2.5</v>
      </c>
      <c r="F193" s="82">
        <f t="shared" si="27"/>
        <v>3</v>
      </c>
      <c r="G193" s="200">
        <v>3</v>
      </c>
      <c r="H193" s="82">
        <v>0.11899999999999999</v>
      </c>
      <c r="I193" s="82">
        <v>22.9</v>
      </c>
      <c r="J193" s="179">
        <f t="shared" si="19"/>
        <v>0.51965065502183405</v>
      </c>
      <c r="K193" s="82">
        <f t="shared" si="20"/>
        <v>2.881895924308589E-2</v>
      </c>
      <c r="L193" s="3">
        <f t="shared" si="21"/>
        <v>3.9760782021995822E-12</v>
      </c>
      <c r="M193" s="3">
        <f t="shared" si="22"/>
        <v>7248086626.4509401</v>
      </c>
      <c r="N193" s="29">
        <f t="shared" si="23"/>
        <v>7.2480866264509398</v>
      </c>
      <c r="O193" s="30">
        <f t="shared" si="24"/>
        <v>0.51965065502183405</v>
      </c>
      <c r="P193" s="175">
        <f t="shared" si="25"/>
        <v>2.881895924308589E-2</v>
      </c>
      <c r="Q193" s="26">
        <f t="shared" si="26"/>
        <v>7.2480866264509398</v>
      </c>
      <c r="AF193" s="24"/>
      <c r="AG193" s="202"/>
      <c r="AH193" s="191"/>
      <c r="AI193" s="37"/>
      <c r="AJ193" s="203"/>
      <c r="AK193" s="31"/>
      <c r="AL193" s="24"/>
      <c r="AM193" s="202"/>
      <c r="AN193" s="191"/>
      <c r="AO193" s="37"/>
      <c r="AP193" s="37"/>
      <c r="AQ193" s="37"/>
      <c r="AR193" s="24"/>
      <c r="AS193" s="202"/>
      <c r="AT193" s="191"/>
      <c r="AU193" s="24"/>
      <c r="AV193" s="202"/>
      <c r="AW193" s="191"/>
      <c r="AX193" s="24"/>
      <c r="AY193" s="202"/>
      <c r="AZ193" s="191"/>
      <c r="BA193" s="23"/>
      <c r="BB193" s="23"/>
      <c r="BC193" s="23"/>
      <c r="BD193" s="23"/>
      <c r="BE193" s="23"/>
      <c r="BF193" s="23"/>
      <c r="BG193" s="23"/>
      <c r="BH193" s="23"/>
      <c r="BI193" s="23"/>
      <c r="BJ193" s="24"/>
      <c r="BK193" s="202"/>
      <c r="BL193" s="191"/>
      <c r="BM193" s="37"/>
      <c r="BN193" s="203"/>
      <c r="BO193" s="31"/>
      <c r="BP193" s="24"/>
      <c r="BQ193" s="202"/>
      <c r="BR193" s="191"/>
      <c r="BS193" s="37"/>
      <c r="BT193" s="37"/>
      <c r="BU193" s="37"/>
      <c r="BV193" s="24"/>
      <c r="BW193" s="202"/>
      <c r="BX193" s="191"/>
      <c r="BY193" s="24"/>
      <c r="BZ193" s="202"/>
      <c r="CA193" s="191"/>
      <c r="CB193" s="24"/>
      <c r="CC193" s="202"/>
      <c r="CD193" s="191"/>
    </row>
    <row r="194" spans="1:82">
      <c r="A194" s="81">
        <v>47</v>
      </c>
      <c r="B194" s="82">
        <v>33.5</v>
      </c>
      <c r="C194" s="82">
        <v>55</v>
      </c>
      <c r="D194" s="82">
        <v>3.5</v>
      </c>
      <c r="E194" s="82">
        <v>2.5</v>
      </c>
      <c r="F194" s="82">
        <f t="shared" si="27"/>
        <v>3</v>
      </c>
      <c r="G194" s="200">
        <v>4</v>
      </c>
      <c r="H194" s="82">
        <v>0.126</v>
      </c>
      <c r="I194" s="82">
        <v>24.6</v>
      </c>
      <c r="J194" s="179">
        <f t="shared" si="19"/>
        <v>0.51219512195121941</v>
      </c>
      <c r="K194" s="82">
        <f t="shared" si="20"/>
        <v>2.840548780487805E-2</v>
      </c>
      <c r="L194" s="3">
        <f t="shared" si="21"/>
        <v>3.9760782021995822E-12</v>
      </c>
      <c r="M194" s="3">
        <f t="shared" si="22"/>
        <v>7144096861.3655586</v>
      </c>
      <c r="N194" s="29">
        <f t="shared" si="23"/>
        <v>7.1440968613655587</v>
      </c>
      <c r="O194" s="30">
        <f t="shared" si="24"/>
        <v>0.51219512195121941</v>
      </c>
      <c r="P194" s="175">
        <f t="shared" si="25"/>
        <v>2.840548780487805E-2</v>
      </c>
      <c r="Q194" s="26">
        <f t="shared" si="26"/>
        <v>7.1440968613655587</v>
      </c>
      <c r="AF194" s="24"/>
      <c r="AG194" s="202"/>
      <c r="AH194" s="191"/>
      <c r="AI194" s="37"/>
      <c r="AJ194" s="203"/>
      <c r="AK194" s="31"/>
      <c r="AL194" s="24"/>
      <c r="AM194" s="202"/>
      <c r="AN194" s="191"/>
      <c r="AO194" s="37"/>
      <c r="AP194" s="37"/>
      <c r="AQ194" s="37"/>
      <c r="AR194" s="24"/>
      <c r="AS194" s="202"/>
      <c r="AT194" s="191"/>
      <c r="AU194" s="24"/>
      <c r="AV194" s="202"/>
      <c r="AW194" s="191"/>
      <c r="AX194" s="24"/>
      <c r="AY194" s="202"/>
      <c r="AZ194" s="191"/>
      <c r="BA194" s="23"/>
      <c r="BB194" s="23"/>
      <c r="BC194" s="23"/>
      <c r="BD194" s="23"/>
      <c r="BE194" s="23"/>
      <c r="BF194" s="23"/>
      <c r="BG194" s="23"/>
      <c r="BH194" s="23"/>
      <c r="BI194" s="23"/>
      <c r="BJ194" s="24"/>
      <c r="BK194" s="202"/>
      <c r="BL194" s="191"/>
      <c r="BM194" s="37"/>
      <c r="BN194" s="203"/>
      <c r="BO194" s="31"/>
      <c r="BP194" s="24"/>
      <c r="BQ194" s="202"/>
      <c r="BR194" s="191"/>
      <c r="BS194" s="37"/>
      <c r="BT194" s="37"/>
      <c r="BU194" s="37"/>
      <c r="BV194" s="24"/>
      <c r="BW194" s="202"/>
      <c r="BX194" s="191"/>
      <c r="BY194" s="24"/>
      <c r="BZ194" s="202"/>
      <c r="CA194" s="191"/>
      <c r="CB194" s="24"/>
      <c r="CC194" s="202"/>
      <c r="CD194" s="191"/>
    </row>
    <row r="195" spans="1:82">
      <c r="A195" s="204">
        <v>48</v>
      </c>
      <c r="B195" s="205">
        <v>37.5</v>
      </c>
      <c r="C195" s="205">
        <v>57</v>
      </c>
      <c r="D195" s="205">
        <v>4</v>
      </c>
      <c r="E195" s="205">
        <v>2.5</v>
      </c>
      <c r="F195" s="205">
        <f t="shared" si="27"/>
        <v>3.25</v>
      </c>
      <c r="G195" s="206">
        <v>1</v>
      </c>
      <c r="H195" s="205">
        <v>9.4E-2</v>
      </c>
      <c r="I195" s="205">
        <v>24.1</v>
      </c>
      <c r="J195" s="207">
        <f t="shared" si="19"/>
        <v>0.39004149377593356</v>
      </c>
      <c r="K195" s="205">
        <f t="shared" si="20"/>
        <v>2.4077651452282162E-2</v>
      </c>
      <c r="L195" s="205">
        <f t="shared" si="21"/>
        <v>5.4765031603502276E-12</v>
      </c>
      <c r="M195" s="205">
        <f t="shared" si="22"/>
        <v>4396537488.849431</v>
      </c>
      <c r="N195" s="252">
        <f t="shared" si="23"/>
        <v>4.3965374888494306</v>
      </c>
      <c r="O195" s="207">
        <f t="shared" si="24"/>
        <v>0.39004149377593356</v>
      </c>
      <c r="P195" s="253">
        <f t="shared" si="25"/>
        <v>2.4077651452282162E-2</v>
      </c>
      <c r="Q195" s="254">
        <f t="shared" si="26"/>
        <v>4.3965374888494306</v>
      </c>
      <c r="AF195" s="24"/>
      <c r="AG195" s="202"/>
      <c r="AH195" s="191"/>
      <c r="AI195" s="37"/>
      <c r="AJ195" s="203"/>
      <c r="AK195" s="31"/>
      <c r="AL195" s="24"/>
      <c r="AM195" s="202"/>
      <c r="AN195" s="191"/>
      <c r="AO195" s="37"/>
      <c r="AP195" s="37"/>
      <c r="AQ195" s="37"/>
      <c r="AR195" s="24"/>
      <c r="AS195" s="202"/>
      <c r="AT195" s="191"/>
      <c r="AU195" s="24"/>
      <c r="AV195" s="202"/>
      <c r="AW195" s="191"/>
      <c r="AX195" s="24"/>
      <c r="AY195" s="202"/>
      <c r="AZ195" s="191"/>
      <c r="BA195" s="23"/>
      <c r="BB195" s="23"/>
      <c r="BC195" s="23"/>
      <c r="BD195" s="23"/>
      <c r="BE195" s="23"/>
      <c r="BF195" s="23"/>
      <c r="BG195" s="23"/>
      <c r="BH195" s="23"/>
      <c r="BI195" s="23"/>
      <c r="BJ195" s="24"/>
      <c r="BK195" s="202"/>
      <c r="BL195" s="191"/>
      <c r="BM195" s="37"/>
      <c r="BN195" s="203"/>
      <c r="BO195" s="31"/>
      <c r="BP195" s="24"/>
      <c r="BQ195" s="202"/>
      <c r="BR195" s="191"/>
      <c r="BS195" s="37"/>
      <c r="BT195" s="37"/>
      <c r="BU195" s="37"/>
      <c r="BV195" s="24"/>
      <c r="BW195" s="202"/>
      <c r="BX195" s="191"/>
      <c r="BY195" s="24"/>
      <c r="BZ195" s="202"/>
      <c r="CA195" s="191"/>
      <c r="CB195" s="24"/>
      <c r="CC195" s="202"/>
      <c r="CD195" s="191"/>
    </row>
    <row r="196" spans="1:82">
      <c r="A196" s="204">
        <v>48</v>
      </c>
      <c r="B196" s="205">
        <v>37.5</v>
      </c>
      <c r="C196" s="205">
        <v>57</v>
      </c>
      <c r="D196" s="205">
        <v>4</v>
      </c>
      <c r="E196" s="205">
        <v>2.5</v>
      </c>
      <c r="F196" s="205">
        <f t="shared" si="27"/>
        <v>3.25</v>
      </c>
      <c r="G196" s="206">
        <v>2</v>
      </c>
      <c r="H196" s="205">
        <v>7.1999999999999995E-2</v>
      </c>
      <c r="I196" s="205">
        <v>25.5</v>
      </c>
      <c r="J196" s="207">
        <f t="shared" si="19"/>
        <v>0.28235294117647058</v>
      </c>
      <c r="K196" s="205">
        <f t="shared" si="20"/>
        <v>1.7429929411764709E-2</v>
      </c>
      <c r="L196" s="205">
        <f t="shared" si="21"/>
        <v>5.4765031603502276E-12</v>
      </c>
      <c r="M196" s="205">
        <f t="shared" si="22"/>
        <v>3182674948.1232929</v>
      </c>
      <c r="N196" s="252">
        <f t="shared" si="23"/>
        <v>3.1826749481232928</v>
      </c>
      <c r="O196" s="207">
        <f t="shared" si="24"/>
        <v>0.28235294117647058</v>
      </c>
      <c r="P196" s="253">
        <f t="shared" si="25"/>
        <v>1.7429929411764709E-2</v>
      </c>
      <c r="Q196" s="254">
        <f t="shared" si="26"/>
        <v>3.1826749481232928</v>
      </c>
      <c r="AF196" s="24"/>
      <c r="AG196" s="202"/>
      <c r="AH196" s="191"/>
      <c r="AI196" s="37"/>
      <c r="AJ196" s="203"/>
      <c r="AK196" s="31"/>
      <c r="AL196" s="24"/>
      <c r="AM196" s="202"/>
      <c r="AN196" s="191"/>
      <c r="AO196" s="37"/>
      <c r="AP196" s="37"/>
      <c r="AQ196" s="37"/>
      <c r="AR196" s="24"/>
      <c r="AS196" s="202"/>
      <c r="AT196" s="191"/>
      <c r="AU196" s="24"/>
      <c r="AV196" s="202"/>
      <c r="AW196" s="191"/>
      <c r="AX196" s="24"/>
      <c r="AY196" s="202"/>
      <c r="AZ196" s="191"/>
      <c r="BA196" s="23"/>
      <c r="BB196" s="23"/>
      <c r="BC196" s="23"/>
      <c r="BD196" s="23"/>
      <c r="BE196" s="23"/>
      <c r="BF196" s="23"/>
      <c r="BG196" s="23"/>
      <c r="BH196" s="23"/>
      <c r="BI196" s="23"/>
      <c r="BJ196" s="24"/>
      <c r="BK196" s="202"/>
      <c r="BL196" s="191"/>
      <c r="BM196" s="37"/>
      <c r="BN196" s="203"/>
      <c r="BO196" s="31"/>
      <c r="BP196" s="24"/>
      <c r="BQ196" s="202"/>
      <c r="BR196" s="191"/>
      <c r="BS196" s="37"/>
      <c r="BT196" s="37"/>
      <c r="BU196" s="37"/>
      <c r="BV196" s="24"/>
      <c r="BW196" s="202"/>
      <c r="BX196" s="191"/>
      <c r="BY196" s="24"/>
      <c r="BZ196" s="202"/>
      <c r="CA196" s="191"/>
      <c r="CB196" s="24"/>
      <c r="CC196" s="202"/>
      <c r="CD196" s="191"/>
    </row>
    <row r="197" spans="1:82">
      <c r="A197" s="204">
        <v>48</v>
      </c>
      <c r="B197" s="205">
        <v>37.5</v>
      </c>
      <c r="C197" s="205">
        <v>57</v>
      </c>
      <c r="D197" s="205">
        <v>4</v>
      </c>
      <c r="E197" s="205">
        <v>2.5</v>
      </c>
      <c r="F197" s="205">
        <f t="shared" si="27"/>
        <v>3.25</v>
      </c>
      <c r="G197" s="206">
        <v>3</v>
      </c>
      <c r="H197" s="205">
        <v>5.5E-2</v>
      </c>
      <c r="I197" s="205">
        <v>25.6</v>
      </c>
      <c r="J197" s="207">
        <f t="shared" si="19"/>
        <v>0.21484375</v>
      </c>
      <c r="K197" s="205">
        <f t="shared" si="20"/>
        <v>1.3262519531250003E-2</v>
      </c>
      <c r="L197" s="205">
        <f t="shared" si="21"/>
        <v>5.4765031603502276E-12</v>
      </c>
      <c r="M197" s="205">
        <f t="shared" si="22"/>
        <v>2421713115.637434</v>
      </c>
      <c r="N197" s="252">
        <f t="shared" si="23"/>
        <v>2.4217131156374339</v>
      </c>
      <c r="O197" s="207">
        <f t="shared" si="24"/>
        <v>0.21484375</v>
      </c>
      <c r="P197" s="253">
        <f t="shared" si="25"/>
        <v>1.3262519531250003E-2</v>
      </c>
      <c r="Q197" s="254">
        <f t="shared" si="26"/>
        <v>2.4217131156374339</v>
      </c>
      <c r="AF197" s="24"/>
      <c r="AG197" s="202"/>
      <c r="AH197" s="191"/>
      <c r="AI197" s="37"/>
      <c r="AJ197" s="203"/>
      <c r="AK197" s="31"/>
      <c r="AL197" s="24"/>
      <c r="AM197" s="202"/>
      <c r="AN197" s="191"/>
      <c r="AO197" s="37"/>
      <c r="AP197" s="37"/>
      <c r="AQ197" s="37"/>
      <c r="AR197" s="24"/>
      <c r="AS197" s="202"/>
      <c r="AT197" s="191"/>
      <c r="AU197" s="24"/>
      <c r="AV197" s="202"/>
      <c r="AW197" s="191"/>
      <c r="AX197" s="24"/>
      <c r="AY197" s="202"/>
      <c r="AZ197" s="191"/>
      <c r="BA197" s="23"/>
      <c r="BB197" s="23"/>
      <c r="BC197" s="23"/>
      <c r="BD197" s="23"/>
      <c r="BE197" s="23"/>
      <c r="BF197" s="23"/>
      <c r="BG197" s="23"/>
      <c r="BH197" s="23"/>
      <c r="BI197" s="23"/>
      <c r="BJ197" s="24"/>
      <c r="BK197" s="202"/>
      <c r="BL197" s="191"/>
      <c r="BM197" s="37"/>
      <c r="BN197" s="203"/>
      <c r="BO197" s="31"/>
      <c r="BP197" s="24"/>
      <c r="BQ197" s="202"/>
      <c r="BR197" s="191"/>
      <c r="BS197" s="37"/>
      <c r="BT197" s="37"/>
      <c r="BU197" s="37"/>
      <c r="BV197" s="24"/>
      <c r="BW197" s="202"/>
      <c r="BX197" s="191"/>
      <c r="BY197" s="24"/>
      <c r="BZ197" s="202"/>
      <c r="CA197" s="191"/>
      <c r="CB197" s="24"/>
      <c r="CC197" s="202"/>
      <c r="CD197" s="191"/>
    </row>
    <row r="198" spans="1:82">
      <c r="A198" s="204">
        <v>48</v>
      </c>
      <c r="B198" s="205">
        <v>37.5</v>
      </c>
      <c r="C198" s="205">
        <v>57</v>
      </c>
      <c r="D198" s="205">
        <v>4</v>
      </c>
      <c r="E198" s="205">
        <v>2.5</v>
      </c>
      <c r="F198" s="205">
        <f t="shared" si="27"/>
        <v>3.25</v>
      </c>
      <c r="G198" s="206">
        <v>4</v>
      </c>
      <c r="H198" s="205">
        <v>4.2999999999999997E-2</v>
      </c>
      <c r="I198" s="205">
        <v>25.8</v>
      </c>
      <c r="J198" s="207">
        <f t="shared" si="19"/>
        <v>0.16666666666666666</v>
      </c>
      <c r="K198" s="205">
        <f t="shared" si="20"/>
        <v>1.0288500000000003E-2</v>
      </c>
      <c r="L198" s="205">
        <f t="shared" si="21"/>
        <v>5.4765031603502276E-12</v>
      </c>
      <c r="M198" s="205">
        <f t="shared" si="22"/>
        <v>1878662295.7672215</v>
      </c>
      <c r="N198" s="252">
        <f t="shared" si="23"/>
        <v>1.8786622957672214</v>
      </c>
      <c r="O198" s="207">
        <f t="shared" si="24"/>
        <v>0.16666666666666666</v>
      </c>
      <c r="P198" s="253">
        <f t="shared" si="25"/>
        <v>1.0288500000000003E-2</v>
      </c>
      <c r="Q198" s="254">
        <f t="shared" si="26"/>
        <v>1.8786622957672214</v>
      </c>
      <c r="AF198" s="24"/>
      <c r="AG198" s="202"/>
      <c r="AH198" s="191"/>
      <c r="AI198" s="37"/>
      <c r="AJ198" s="203"/>
      <c r="AK198" s="31"/>
      <c r="AL198" s="24"/>
      <c r="AM198" s="202"/>
      <c r="AN198" s="191"/>
      <c r="AO198" s="37"/>
      <c r="AP198" s="37"/>
      <c r="AQ198" s="37"/>
      <c r="AR198" s="24"/>
      <c r="AS198" s="202"/>
      <c r="AT198" s="191"/>
      <c r="AU198" s="24"/>
      <c r="AV198" s="202"/>
      <c r="AW198" s="191"/>
      <c r="AX198" s="24"/>
      <c r="AY198" s="202"/>
      <c r="AZ198" s="191"/>
      <c r="BA198" s="23"/>
      <c r="BB198" s="23"/>
      <c r="BC198" s="23"/>
      <c r="BD198" s="23"/>
      <c r="BE198" s="23"/>
      <c r="BF198" s="23"/>
      <c r="BG198" s="23"/>
      <c r="BH198" s="23"/>
      <c r="BI198" s="23"/>
      <c r="BJ198" s="24"/>
      <c r="BK198" s="202"/>
      <c r="BL198" s="191"/>
      <c r="BM198" s="37"/>
      <c r="BN198" s="203"/>
      <c r="BO198" s="31"/>
      <c r="BP198" s="24"/>
      <c r="BQ198" s="202"/>
      <c r="BR198" s="191"/>
      <c r="BS198" s="37"/>
      <c r="BT198" s="37"/>
      <c r="BU198" s="37"/>
      <c r="BV198" s="24"/>
      <c r="BW198" s="202"/>
      <c r="BX198" s="191"/>
      <c r="BY198" s="24"/>
      <c r="BZ198" s="202"/>
      <c r="CA198" s="191"/>
      <c r="CB198" s="24"/>
      <c r="CC198" s="202"/>
      <c r="CD198" s="191"/>
    </row>
    <row r="199" spans="1:82">
      <c r="A199" s="81">
        <v>49</v>
      </c>
      <c r="B199" s="82">
        <v>29.5</v>
      </c>
      <c r="C199" s="82">
        <v>52</v>
      </c>
      <c r="D199" s="82">
        <v>3.5</v>
      </c>
      <c r="E199" s="82">
        <v>3</v>
      </c>
      <c r="F199" s="82">
        <f t="shared" si="27"/>
        <v>3.25</v>
      </c>
      <c r="G199" s="200">
        <v>1</v>
      </c>
      <c r="H199" s="82">
        <v>5.8000000000000003E-2</v>
      </c>
      <c r="I199" s="82">
        <v>22.5</v>
      </c>
      <c r="J199" s="179">
        <f t="shared" si="19"/>
        <v>0.25777777777777777</v>
      </c>
      <c r="K199" s="82">
        <f t="shared" si="20"/>
        <v>1.2081872592592593E-2</v>
      </c>
      <c r="L199" s="3">
        <f t="shared" si="21"/>
        <v>5.4765031603502276E-12</v>
      </c>
      <c r="M199" s="3">
        <f t="shared" si="22"/>
        <v>2206129027.7462282</v>
      </c>
      <c r="N199" s="29">
        <f t="shared" si="23"/>
        <v>2.2061290277462282</v>
      </c>
      <c r="O199" s="30">
        <f t="shared" si="24"/>
        <v>0.25777777777777777</v>
      </c>
      <c r="P199" s="175">
        <f t="shared" si="25"/>
        <v>1.2081872592592593E-2</v>
      </c>
      <c r="Q199" s="26">
        <f t="shared" si="26"/>
        <v>2.2061290277462282</v>
      </c>
      <c r="AF199" s="24"/>
      <c r="AG199" s="202"/>
      <c r="AH199" s="191"/>
      <c r="AI199" s="37"/>
      <c r="AJ199" s="203"/>
      <c r="AK199" s="31"/>
      <c r="AL199" s="24"/>
      <c r="AM199" s="202"/>
      <c r="AN199" s="191"/>
      <c r="AO199" s="37"/>
      <c r="AP199" s="37"/>
      <c r="AQ199" s="37"/>
      <c r="AR199" s="24"/>
      <c r="AS199" s="202"/>
      <c r="AT199" s="191"/>
      <c r="AU199" s="24"/>
      <c r="AV199" s="202"/>
      <c r="AW199" s="191"/>
      <c r="AX199" s="24"/>
      <c r="AY199" s="202"/>
      <c r="AZ199" s="191"/>
      <c r="BA199" s="23"/>
      <c r="BB199" s="23"/>
      <c r="BC199" s="23"/>
      <c r="BD199" s="23"/>
      <c r="BE199" s="23"/>
      <c r="BF199" s="23"/>
      <c r="BG199" s="23"/>
      <c r="BH199" s="23"/>
      <c r="BI199" s="23"/>
      <c r="BJ199" s="24"/>
      <c r="BK199" s="202"/>
      <c r="BL199" s="191"/>
      <c r="BM199" s="37"/>
      <c r="BN199" s="203"/>
      <c r="BO199" s="31"/>
      <c r="BP199" s="24"/>
      <c r="BQ199" s="202"/>
      <c r="BR199" s="191"/>
      <c r="BS199" s="37"/>
      <c r="BT199" s="37"/>
      <c r="BU199" s="37"/>
      <c r="BV199" s="24"/>
      <c r="BW199" s="202"/>
      <c r="BX199" s="191"/>
      <c r="BY199" s="24"/>
      <c r="BZ199" s="202"/>
      <c r="CA199" s="191"/>
      <c r="CB199" s="24"/>
      <c r="CC199" s="202"/>
      <c r="CD199" s="191"/>
    </row>
    <row r="200" spans="1:82">
      <c r="A200" s="81">
        <v>49</v>
      </c>
      <c r="B200" s="82">
        <v>29.5</v>
      </c>
      <c r="C200" s="82">
        <v>52</v>
      </c>
      <c r="D200" s="82">
        <v>3.5</v>
      </c>
      <c r="E200" s="82">
        <v>3</v>
      </c>
      <c r="F200" s="82">
        <f t="shared" si="27"/>
        <v>3.25</v>
      </c>
      <c r="G200" s="200">
        <v>2</v>
      </c>
      <c r="H200" s="82">
        <v>9.1999999999999998E-2</v>
      </c>
      <c r="I200" s="82">
        <v>22.7</v>
      </c>
      <c r="J200" s="179">
        <f t="shared" ref="J200:J246" si="28">H200/CONVERT(I200,"cm","m")</f>
        <v>0.40528634361233479</v>
      </c>
      <c r="K200" s="82">
        <f t="shared" ref="K200:K246" si="29">J200*((CONVERT(C200,"cm","m"))^3)/3</f>
        <v>1.8995500734214393E-2</v>
      </c>
      <c r="L200" s="3">
        <f t="shared" ref="L200:L246" si="30">PI()*(CONVERT(F200,"mm","m"))^4/64</f>
        <v>5.4765031603502276E-12</v>
      </c>
      <c r="M200" s="3">
        <f t="shared" ref="M200:M246" si="31">K200/L200</f>
        <v>3468545562.3839378</v>
      </c>
      <c r="N200" s="29">
        <f t="shared" ref="N200:N246" si="32">M200/10^9</f>
        <v>3.4685455623839379</v>
      </c>
      <c r="O200" s="30">
        <f t="shared" ref="O200:O246" si="33">H200*$S$8/CONVERT(I200,"cm","m")</f>
        <v>0.40528634361233479</v>
      </c>
      <c r="P200" s="175">
        <f t="shared" ref="P200:P246" si="34">O200*((CONVERT(C200,"cm","m"))^3)/3</f>
        <v>1.8995500734214393E-2</v>
      </c>
      <c r="Q200" s="26">
        <f t="shared" ref="Q200:Q246" si="35">P200/L200/10^9</f>
        <v>3.4685455623839379</v>
      </c>
      <c r="AF200" s="24"/>
      <c r="AG200" s="202"/>
      <c r="AH200" s="191"/>
      <c r="AI200" s="37"/>
      <c r="AJ200" s="203"/>
      <c r="AK200" s="31"/>
      <c r="AL200" s="24"/>
      <c r="AM200" s="202"/>
      <c r="AN200" s="191"/>
      <c r="AO200" s="37"/>
      <c r="AP200" s="37"/>
      <c r="AQ200" s="37"/>
      <c r="AR200" s="24"/>
      <c r="AS200" s="202"/>
      <c r="AT200" s="191"/>
      <c r="AU200" s="24"/>
      <c r="AV200" s="202"/>
      <c r="AW200" s="191"/>
      <c r="AX200" s="24"/>
      <c r="AY200" s="202"/>
      <c r="AZ200" s="191"/>
      <c r="BA200" s="23"/>
      <c r="BB200" s="23"/>
      <c r="BC200" s="23"/>
      <c r="BD200" s="23"/>
      <c r="BE200" s="23"/>
      <c r="BF200" s="23"/>
      <c r="BG200" s="23"/>
      <c r="BH200" s="23"/>
      <c r="BI200" s="23"/>
      <c r="BJ200" s="24"/>
      <c r="BK200" s="202"/>
      <c r="BL200" s="191"/>
      <c r="BM200" s="37"/>
      <c r="BN200" s="203"/>
      <c r="BO200" s="31"/>
      <c r="BP200" s="24"/>
      <c r="BQ200" s="202"/>
      <c r="BR200" s="191"/>
      <c r="BS200" s="37"/>
      <c r="BT200" s="37"/>
      <c r="BU200" s="37"/>
      <c r="BV200" s="24"/>
      <c r="BW200" s="202"/>
      <c r="BX200" s="191"/>
      <c r="BY200" s="24"/>
      <c r="BZ200" s="202"/>
      <c r="CA200" s="191"/>
      <c r="CB200" s="24"/>
      <c r="CC200" s="202"/>
      <c r="CD200" s="191"/>
    </row>
    <row r="201" spans="1:82">
      <c r="A201" s="81">
        <v>49</v>
      </c>
      <c r="B201" s="82">
        <v>29.5</v>
      </c>
      <c r="C201" s="82">
        <v>52</v>
      </c>
      <c r="D201" s="82">
        <v>3.5</v>
      </c>
      <c r="E201" s="82">
        <v>3</v>
      </c>
      <c r="F201" s="82">
        <f t="shared" si="27"/>
        <v>3.25</v>
      </c>
      <c r="G201" s="200">
        <v>3</v>
      </c>
      <c r="H201" s="82">
        <v>7.9000000000000001E-2</v>
      </c>
      <c r="I201" s="82">
        <v>24</v>
      </c>
      <c r="J201" s="179">
        <f t="shared" si="28"/>
        <v>0.32916666666666666</v>
      </c>
      <c r="K201" s="82">
        <f t="shared" si="29"/>
        <v>1.5427822222222222E-2</v>
      </c>
      <c r="L201" s="3">
        <f t="shared" si="30"/>
        <v>5.4765031603502276E-12</v>
      </c>
      <c r="M201" s="3">
        <f t="shared" si="31"/>
        <v>2817093639.956121</v>
      </c>
      <c r="N201" s="29">
        <f t="shared" si="32"/>
        <v>2.8170936399561208</v>
      </c>
      <c r="O201" s="30">
        <f t="shared" si="33"/>
        <v>0.32916666666666666</v>
      </c>
      <c r="P201" s="175">
        <f t="shared" si="34"/>
        <v>1.5427822222222222E-2</v>
      </c>
      <c r="Q201" s="26">
        <f t="shared" si="35"/>
        <v>2.8170936399561208</v>
      </c>
      <c r="AF201" s="24"/>
      <c r="AG201" s="202"/>
      <c r="AH201" s="191"/>
      <c r="AI201" s="37"/>
      <c r="AJ201" s="203"/>
      <c r="AK201" s="31"/>
      <c r="AL201" s="24"/>
      <c r="AM201" s="202"/>
      <c r="AN201" s="191"/>
      <c r="AO201" s="37"/>
      <c r="AP201" s="37"/>
      <c r="AQ201" s="37"/>
      <c r="AR201" s="24"/>
      <c r="AS201" s="202"/>
      <c r="AT201" s="191"/>
      <c r="AU201" s="24"/>
      <c r="AV201" s="202"/>
      <c r="AW201" s="191"/>
      <c r="AX201" s="24"/>
      <c r="AY201" s="202"/>
      <c r="AZ201" s="191"/>
      <c r="BA201" s="23"/>
      <c r="BB201" s="23"/>
      <c r="BC201" s="23"/>
      <c r="BD201" s="23"/>
      <c r="BE201" s="23"/>
      <c r="BF201" s="23"/>
      <c r="BG201" s="23"/>
      <c r="BH201" s="23"/>
      <c r="BI201" s="23"/>
      <c r="BJ201" s="24"/>
      <c r="BK201" s="202"/>
      <c r="BL201" s="191"/>
      <c r="BM201" s="37"/>
      <c r="BN201" s="203"/>
      <c r="BO201" s="31"/>
      <c r="BP201" s="24"/>
      <c r="BQ201" s="202"/>
      <c r="BR201" s="191"/>
      <c r="BS201" s="37"/>
      <c r="BT201" s="37"/>
      <c r="BU201" s="37"/>
      <c r="BV201" s="24"/>
      <c r="BW201" s="202"/>
      <c r="BX201" s="191"/>
      <c r="BY201" s="24"/>
      <c r="BZ201" s="202"/>
      <c r="CA201" s="191"/>
      <c r="CB201" s="24"/>
      <c r="CC201" s="202"/>
      <c r="CD201" s="191"/>
    </row>
    <row r="202" spans="1:82">
      <c r="A202" s="81">
        <v>49</v>
      </c>
      <c r="B202" s="82">
        <v>29.5</v>
      </c>
      <c r="C202" s="82">
        <v>52</v>
      </c>
      <c r="D202" s="82">
        <v>3.5</v>
      </c>
      <c r="E202" s="82">
        <v>3</v>
      </c>
      <c r="F202" s="82">
        <f t="shared" si="27"/>
        <v>3.25</v>
      </c>
      <c r="G202" s="200">
        <v>4</v>
      </c>
      <c r="H202" s="82">
        <v>0.05</v>
      </c>
      <c r="I202" s="82">
        <v>21.9</v>
      </c>
      <c r="J202" s="179">
        <f t="shared" si="28"/>
        <v>0.22831050228310504</v>
      </c>
      <c r="K202" s="82">
        <f t="shared" si="29"/>
        <v>1.0700761035007611E-2</v>
      </c>
      <c r="L202" s="3">
        <f t="shared" si="30"/>
        <v>5.4765031603502276E-12</v>
      </c>
      <c r="M202" s="3">
        <f t="shared" si="31"/>
        <v>1953940447.3425498</v>
      </c>
      <c r="N202" s="29">
        <f t="shared" si="32"/>
        <v>1.9539404473425499</v>
      </c>
      <c r="O202" s="30">
        <f t="shared" si="33"/>
        <v>0.22831050228310504</v>
      </c>
      <c r="P202" s="175">
        <f t="shared" si="34"/>
        <v>1.0700761035007611E-2</v>
      </c>
      <c r="Q202" s="26">
        <f t="shared" si="35"/>
        <v>1.9539404473425499</v>
      </c>
      <c r="AF202" s="24"/>
      <c r="AG202" s="202"/>
      <c r="AH202" s="191"/>
      <c r="AI202" s="37"/>
      <c r="AJ202" s="203"/>
      <c r="AK202" s="31"/>
      <c r="AL202" s="24"/>
      <c r="AM202" s="202"/>
      <c r="AN202" s="191"/>
      <c r="AO202" s="37"/>
      <c r="AP202" s="37"/>
      <c r="AQ202" s="37"/>
      <c r="AR202" s="24"/>
      <c r="AS202" s="202"/>
      <c r="AT202" s="191"/>
      <c r="AU202" s="24"/>
      <c r="AV202" s="202"/>
      <c r="AW202" s="191"/>
      <c r="AX202" s="24"/>
      <c r="AY202" s="202"/>
      <c r="AZ202" s="191"/>
      <c r="BA202" s="23"/>
      <c r="BB202" s="23"/>
      <c r="BC202" s="23"/>
      <c r="BD202" s="23"/>
      <c r="BE202" s="23"/>
      <c r="BF202" s="23"/>
      <c r="BG202" s="23"/>
      <c r="BH202" s="23"/>
      <c r="BI202" s="23"/>
      <c r="BJ202" s="24"/>
      <c r="BK202" s="202"/>
      <c r="BL202" s="191"/>
      <c r="BM202" s="37"/>
      <c r="BN202" s="203"/>
      <c r="BO202" s="31"/>
      <c r="BP202" s="24"/>
      <c r="BQ202" s="202"/>
      <c r="BR202" s="191"/>
      <c r="BS202" s="37"/>
      <c r="BT202" s="37"/>
      <c r="BU202" s="37"/>
      <c r="BV202" s="24"/>
      <c r="BW202" s="202"/>
      <c r="BX202" s="191"/>
      <c r="BY202" s="24"/>
      <c r="BZ202" s="202"/>
      <c r="CA202" s="191"/>
      <c r="CB202" s="24"/>
      <c r="CC202" s="202"/>
      <c r="CD202" s="191"/>
    </row>
    <row r="203" spans="1:82">
      <c r="A203" s="204">
        <v>50</v>
      </c>
      <c r="B203" s="205">
        <v>42.5</v>
      </c>
      <c r="C203" s="205">
        <v>58</v>
      </c>
      <c r="D203" s="205">
        <v>4</v>
      </c>
      <c r="E203" s="205">
        <v>2.5</v>
      </c>
      <c r="F203" s="205">
        <f t="shared" si="27"/>
        <v>3.25</v>
      </c>
      <c r="G203" s="206">
        <v>1</v>
      </c>
      <c r="H203" s="205">
        <v>8.8999999999999996E-2</v>
      </c>
      <c r="I203" s="205">
        <v>25.1</v>
      </c>
      <c r="J203" s="207">
        <f t="shared" si="28"/>
        <v>0.35458167330677287</v>
      </c>
      <c r="K203" s="205">
        <f t="shared" si="29"/>
        <v>2.3061046480743686E-2</v>
      </c>
      <c r="L203" s="205">
        <f t="shared" si="30"/>
        <v>5.4765031603502276E-12</v>
      </c>
      <c r="M203" s="205">
        <f t="shared" si="31"/>
        <v>4210907180.2797809</v>
      </c>
      <c r="N203" s="252">
        <f t="shared" si="32"/>
        <v>4.2109071802797811</v>
      </c>
      <c r="O203" s="207">
        <f t="shared" si="33"/>
        <v>0.35458167330677287</v>
      </c>
      <c r="P203" s="253">
        <f t="shared" si="34"/>
        <v>2.3061046480743686E-2</v>
      </c>
      <c r="Q203" s="254">
        <f t="shared" si="35"/>
        <v>4.2109071802797811</v>
      </c>
      <c r="AF203" s="24"/>
      <c r="AG203" s="202"/>
      <c r="AH203" s="191"/>
      <c r="AI203" s="37"/>
      <c r="AJ203" s="203"/>
      <c r="AK203" s="31"/>
      <c r="AL203" s="24"/>
      <c r="AM203" s="202"/>
      <c r="AN203" s="191"/>
      <c r="AO203" s="37"/>
      <c r="AP203" s="37"/>
      <c r="AQ203" s="37"/>
      <c r="AR203" s="24"/>
      <c r="AS203" s="202"/>
      <c r="AT203" s="191"/>
      <c r="AU203" s="24"/>
      <c r="AV203" s="202"/>
      <c r="AW203" s="191"/>
      <c r="AX203" s="24"/>
      <c r="AY203" s="202"/>
      <c r="AZ203" s="191"/>
      <c r="BA203" s="23"/>
      <c r="BB203" s="23"/>
      <c r="BC203" s="23"/>
      <c r="BD203" s="23"/>
      <c r="BE203" s="23"/>
      <c r="BF203" s="23"/>
      <c r="BG203" s="23"/>
      <c r="BH203" s="23"/>
      <c r="BI203" s="23"/>
      <c r="BJ203" s="24"/>
      <c r="BK203" s="202"/>
      <c r="BL203" s="191"/>
      <c r="BM203" s="37"/>
      <c r="BN203" s="203"/>
      <c r="BO203" s="31"/>
      <c r="BP203" s="24"/>
      <c r="BQ203" s="202"/>
      <c r="BR203" s="191"/>
      <c r="BS203" s="37"/>
      <c r="BT203" s="37"/>
      <c r="BU203" s="37"/>
      <c r="BV203" s="24"/>
      <c r="BW203" s="202"/>
      <c r="BX203" s="191"/>
      <c r="BY203" s="24"/>
      <c r="BZ203" s="202"/>
      <c r="CA203" s="191"/>
      <c r="CB203" s="24"/>
      <c r="CC203" s="202"/>
      <c r="CD203" s="191"/>
    </row>
    <row r="204" spans="1:82">
      <c r="A204" s="204">
        <v>50</v>
      </c>
      <c r="B204" s="205">
        <v>42.5</v>
      </c>
      <c r="C204" s="205">
        <v>58</v>
      </c>
      <c r="D204" s="205">
        <v>4</v>
      </c>
      <c r="E204" s="205">
        <v>2.5</v>
      </c>
      <c r="F204" s="205">
        <f t="shared" si="27"/>
        <v>3.25</v>
      </c>
      <c r="G204" s="206">
        <v>2</v>
      </c>
      <c r="H204" s="205">
        <v>8.8999999999999996E-2</v>
      </c>
      <c r="I204" s="205">
        <v>26</v>
      </c>
      <c r="J204" s="207">
        <f t="shared" si="28"/>
        <v>0.34230769230769226</v>
      </c>
      <c r="K204" s="205">
        <f t="shared" si="29"/>
        <v>2.2262779487179484E-2</v>
      </c>
      <c r="L204" s="205">
        <f t="shared" si="30"/>
        <v>5.4765031603502276E-12</v>
      </c>
      <c r="M204" s="205">
        <f t="shared" si="31"/>
        <v>4065145008.6547122</v>
      </c>
      <c r="N204" s="252">
        <f t="shared" si="32"/>
        <v>4.0651450086547118</v>
      </c>
      <c r="O204" s="207">
        <f t="shared" si="33"/>
        <v>0.34230769230769226</v>
      </c>
      <c r="P204" s="253">
        <f t="shared" si="34"/>
        <v>2.2262779487179484E-2</v>
      </c>
      <c r="Q204" s="254">
        <f t="shared" si="35"/>
        <v>4.0651450086547118</v>
      </c>
      <c r="AF204" s="24"/>
      <c r="AG204" s="202"/>
      <c r="AH204" s="191"/>
      <c r="AI204" s="37"/>
      <c r="AJ204" s="203"/>
      <c r="AK204" s="31"/>
      <c r="AL204" s="24"/>
      <c r="AM204" s="202"/>
      <c r="AN204" s="191"/>
      <c r="AO204" s="37"/>
      <c r="AP204" s="37"/>
      <c r="AQ204" s="37"/>
      <c r="AR204" s="24"/>
      <c r="AS204" s="202"/>
      <c r="AT204" s="191"/>
      <c r="AU204" s="24"/>
      <c r="AV204" s="202"/>
      <c r="AW204" s="191"/>
      <c r="AX204" s="24"/>
      <c r="AY204" s="202"/>
      <c r="AZ204" s="191"/>
      <c r="BA204" s="23"/>
      <c r="BB204" s="23"/>
      <c r="BC204" s="23"/>
      <c r="BD204" s="23"/>
      <c r="BE204" s="23"/>
      <c r="BF204" s="23"/>
      <c r="BG204" s="23"/>
      <c r="BH204" s="23"/>
      <c r="BI204" s="23"/>
      <c r="BJ204" s="24"/>
      <c r="BK204" s="202"/>
      <c r="BL204" s="191"/>
      <c r="BM204" s="37"/>
      <c r="BN204" s="203"/>
      <c r="BO204" s="31"/>
      <c r="BP204" s="24"/>
      <c r="BQ204" s="202"/>
      <c r="BR204" s="191"/>
      <c r="BS204" s="37"/>
      <c r="BT204" s="37"/>
      <c r="BU204" s="37"/>
      <c r="BV204" s="24"/>
      <c r="BW204" s="202"/>
      <c r="BX204" s="191"/>
      <c r="BY204" s="24"/>
      <c r="BZ204" s="202"/>
      <c r="CA204" s="191"/>
      <c r="CB204" s="24"/>
      <c r="CC204" s="202"/>
      <c r="CD204" s="191"/>
    </row>
    <row r="205" spans="1:82">
      <c r="A205" s="204">
        <v>50</v>
      </c>
      <c r="B205" s="205">
        <v>42.5</v>
      </c>
      <c r="C205" s="205">
        <v>58</v>
      </c>
      <c r="D205" s="205">
        <v>4</v>
      </c>
      <c r="E205" s="205">
        <v>2.5</v>
      </c>
      <c r="F205" s="205">
        <f t="shared" si="27"/>
        <v>3.25</v>
      </c>
      <c r="G205" s="206">
        <v>3</v>
      </c>
      <c r="H205" s="205">
        <v>8.5999999999999993E-2</v>
      </c>
      <c r="I205" s="205">
        <v>24.2</v>
      </c>
      <c r="J205" s="207">
        <f t="shared" si="28"/>
        <v>0.35537190082644626</v>
      </c>
      <c r="K205" s="205">
        <f t="shared" si="29"/>
        <v>2.3112440771349857E-2</v>
      </c>
      <c r="L205" s="205">
        <f t="shared" si="30"/>
        <v>5.4765031603502276E-12</v>
      </c>
      <c r="M205" s="205">
        <f t="shared" si="31"/>
        <v>4220291688.8067303</v>
      </c>
      <c r="N205" s="252">
        <f t="shared" si="32"/>
        <v>4.2202916888067303</v>
      </c>
      <c r="O205" s="207">
        <f t="shared" si="33"/>
        <v>0.35537190082644626</v>
      </c>
      <c r="P205" s="253">
        <f t="shared" si="34"/>
        <v>2.3112440771349857E-2</v>
      </c>
      <c r="Q205" s="254">
        <f t="shared" si="35"/>
        <v>4.2202916888067303</v>
      </c>
      <c r="AF205" s="24"/>
      <c r="AG205" s="202"/>
      <c r="AH205" s="191"/>
      <c r="AI205" s="37"/>
      <c r="AJ205" s="203"/>
      <c r="AK205" s="31"/>
      <c r="AL205" s="24"/>
      <c r="AM205" s="202"/>
      <c r="AN205" s="191"/>
      <c r="AO205" s="37"/>
      <c r="AP205" s="37"/>
      <c r="AQ205" s="37"/>
      <c r="AR205" s="24"/>
      <c r="AS205" s="202"/>
      <c r="AT205" s="191"/>
      <c r="AU205" s="24"/>
      <c r="AV205" s="202"/>
      <c r="AW205" s="191"/>
      <c r="AX205" s="24"/>
      <c r="AY205" s="202"/>
      <c r="AZ205" s="191"/>
      <c r="BA205" s="23"/>
      <c r="BB205" s="23"/>
      <c r="BC205" s="23"/>
      <c r="BD205" s="23"/>
      <c r="BE205" s="23"/>
      <c r="BF205" s="23"/>
      <c r="BG205" s="23"/>
      <c r="BH205" s="23"/>
      <c r="BI205" s="23"/>
      <c r="BJ205" s="24"/>
      <c r="BK205" s="202"/>
      <c r="BL205" s="191"/>
      <c r="BM205" s="37"/>
      <c r="BN205" s="203"/>
      <c r="BO205" s="31"/>
      <c r="BP205" s="24"/>
      <c r="BQ205" s="202"/>
      <c r="BR205" s="191"/>
      <c r="BS205" s="37"/>
      <c r="BT205" s="37"/>
      <c r="BU205" s="37"/>
      <c r="BV205" s="24"/>
      <c r="BW205" s="202"/>
      <c r="BX205" s="191"/>
      <c r="BY205" s="24"/>
      <c r="BZ205" s="202"/>
      <c r="CA205" s="191"/>
      <c r="CB205" s="24"/>
      <c r="CC205" s="202"/>
      <c r="CD205" s="191"/>
    </row>
    <row r="206" spans="1:82">
      <c r="A206" s="204">
        <v>50</v>
      </c>
      <c r="B206" s="205">
        <v>42.5</v>
      </c>
      <c r="C206" s="205">
        <v>58</v>
      </c>
      <c r="D206" s="205">
        <v>4</v>
      </c>
      <c r="E206" s="205">
        <v>2.5</v>
      </c>
      <c r="F206" s="205">
        <f t="shared" si="27"/>
        <v>3.25</v>
      </c>
      <c r="G206" s="206">
        <v>4</v>
      </c>
      <c r="H206" s="205">
        <v>9.1999999999999998E-2</v>
      </c>
      <c r="I206" s="205">
        <v>23.7</v>
      </c>
      <c r="J206" s="207">
        <f t="shared" si="28"/>
        <v>0.38818565400843885</v>
      </c>
      <c r="K206" s="205">
        <f t="shared" si="29"/>
        <v>2.5246559774964841E-2</v>
      </c>
      <c r="L206" s="205">
        <f t="shared" si="30"/>
        <v>5.4765031603502276E-12</v>
      </c>
      <c r="M206" s="205">
        <f t="shared" si="31"/>
        <v>4609978125.7773066</v>
      </c>
      <c r="N206" s="252">
        <f t="shared" si="32"/>
        <v>4.6099781257773067</v>
      </c>
      <c r="O206" s="207">
        <f t="shared" si="33"/>
        <v>0.38818565400843885</v>
      </c>
      <c r="P206" s="253">
        <f t="shared" si="34"/>
        <v>2.5246559774964841E-2</v>
      </c>
      <c r="Q206" s="254">
        <f t="shared" si="35"/>
        <v>4.6099781257773067</v>
      </c>
      <c r="AF206" s="24"/>
      <c r="AG206" s="202"/>
      <c r="AH206" s="191"/>
      <c r="AI206" s="37"/>
      <c r="AJ206" s="203"/>
      <c r="AK206" s="31"/>
      <c r="AL206" s="24"/>
      <c r="AM206" s="202"/>
      <c r="AN206" s="191"/>
      <c r="AO206" s="37"/>
      <c r="AP206" s="37"/>
      <c r="AQ206" s="37"/>
      <c r="AR206" s="24"/>
      <c r="AS206" s="202"/>
      <c r="AT206" s="191"/>
      <c r="AU206" s="24"/>
      <c r="AV206" s="202"/>
      <c r="AW206" s="191"/>
      <c r="AX206" s="24"/>
      <c r="AY206" s="202"/>
      <c r="AZ206" s="191"/>
      <c r="BA206" s="23"/>
      <c r="BB206" s="23"/>
      <c r="BC206" s="23"/>
      <c r="BD206" s="23"/>
      <c r="BE206" s="23"/>
      <c r="BF206" s="23"/>
      <c r="BG206" s="23"/>
      <c r="BH206" s="23"/>
      <c r="BI206" s="23"/>
      <c r="BJ206" s="24"/>
      <c r="BK206" s="202"/>
      <c r="BL206" s="191"/>
      <c r="BM206" s="37"/>
      <c r="BN206" s="203"/>
      <c r="BO206" s="31"/>
      <c r="BP206" s="24"/>
      <c r="BQ206" s="202"/>
      <c r="BR206" s="191"/>
      <c r="BS206" s="37"/>
      <c r="BT206" s="37"/>
      <c r="BU206" s="37"/>
      <c r="BV206" s="24"/>
      <c r="BW206" s="202"/>
      <c r="BX206" s="191"/>
      <c r="BY206" s="24"/>
      <c r="BZ206" s="202"/>
      <c r="CA206" s="191"/>
      <c r="CB206" s="24"/>
      <c r="CC206" s="202"/>
      <c r="CD206" s="191"/>
    </row>
    <row r="207" spans="1:82">
      <c r="A207" s="81">
        <v>51</v>
      </c>
      <c r="B207" s="82">
        <v>39</v>
      </c>
      <c r="C207" s="82">
        <v>54</v>
      </c>
      <c r="D207" s="82">
        <v>4</v>
      </c>
      <c r="E207" s="82">
        <v>3</v>
      </c>
      <c r="F207" s="82">
        <f t="shared" si="27"/>
        <v>3.5</v>
      </c>
      <c r="G207" s="200">
        <v>1</v>
      </c>
      <c r="H207" s="82">
        <v>0.10100000000000001</v>
      </c>
      <c r="I207" s="82">
        <v>23.2</v>
      </c>
      <c r="J207" s="179">
        <f t="shared" si="28"/>
        <v>0.43534482758620696</v>
      </c>
      <c r="K207" s="82">
        <f t="shared" si="29"/>
        <v>2.2850379310344834E-2</v>
      </c>
      <c r="L207" s="3">
        <f t="shared" si="30"/>
        <v>7.3661757434268517E-12</v>
      </c>
      <c r="M207" s="3">
        <f t="shared" si="31"/>
        <v>3102068170.2761693</v>
      </c>
      <c r="N207" s="29">
        <f t="shared" si="32"/>
        <v>3.1020681702761692</v>
      </c>
      <c r="O207" s="30">
        <f t="shared" si="33"/>
        <v>0.43534482758620696</v>
      </c>
      <c r="P207" s="175">
        <f t="shared" si="34"/>
        <v>2.2850379310344834E-2</v>
      </c>
      <c r="Q207" s="26">
        <f t="shared" si="35"/>
        <v>3.1020681702761692</v>
      </c>
      <c r="AF207" s="24"/>
      <c r="AG207" s="202"/>
      <c r="AH207" s="191"/>
      <c r="AI207" s="37"/>
      <c r="AJ207" s="203"/>
      <c r="AK207" s="31"/>
      <c r="AL207" s="24"/>
      <c r="AM207" s="202"/>
      <c r="AN207" s="191"/>
      <c r="AO207" s="37"/>
      <c r="AP207" s="37"/>
      <c r="AQ207" s="37"/>
      <c r="AR207" s="24"/>
      <c r="AS207" s="202"/>
      <c r="AT207" s="191"/>
      <c r="AU207" s="24"/>
      <c r="AV207" s="202"/>
      <c r="AW207" s="191"/>
      <c r="AX207" s="24"/>
      <c r="AY207" s="202"/>
      <c r="AZ207" s="191"/>
      <c r="BA207" s="23"/>
      <c r="BB207" s="23"/>
      <c r="BC207" s="23"/>
      <c r="BD207" s="23"/>
      <c r="BE207" s="23"/>
      <c r="BF207" s="23"/>
      <c r="BG207" s="23"/>
      <c r="BH207" s="23"/>
      <c r="BI207" s="23"/>
      <c r="BJ207" s="24"/>
      <c r="BK207" s="202"/>
      <c r="BL207" s="191"/>
      <c r="BM207" s="37"/>
      <c r="BN207" s="203"/>
      <c r="BO207" s="31"/>
      <c r="BP207" s="24"/>
      <c r="BQ207" s="202"/>
      <c r="BR207" s="191"/>
      <c r="BS207" s="37"/>
      <c r="BT207" s="37"/>
      <c r="BU207" s="37"/>
      <c r="BV207" s="24"/>
      <c r="BW207" s="202"/>
      <c r="BX207" s="191"/>
      <c r="BY207" s="24"/>
      <c r="BZ207" s="202"/>
      <c r="CA207" s="191"/>
      <c r="CB207" s="24"/>
      <c r="CC207" s="202"/>
      <c r="CD207" s="191"/>
    </row>
    <row r="208" spans="1:82">
      <c r="A208" s="81">
        <v>51</v>
      </c>
      <c r="B208" s="82">
        <v>39</v>
      </c>
      <c r="C208" s="82">
        <v>54</v>
      </c>
      <c r="D208" s="82">
        <v>4</v>
      </c>
      <c r="E208" s="82">
        <v>3</v>
      </c>
      <c r="F208" s="82">
        <f t="shared" si="27"/>
        <v>3.5</v>
      </c>
      <c r="G208" s="200">
        <v>2</v>
      </c>
      <c r="H208" s="82">
        <v>8.3000000000000004E-2</v>
      </c>
      <c r="I208" s="82">
        <v>22.4</v>
      </c>
      <c r="J208" s="179">
        <f t="shared" si="28"/>
        <v>0.37053571428571436</v>
      </c>
      <c r="K208" s="82">
        <f t="shared" si="29"/>
        <v>1.9448678571428579E-2</v>
      </c>
      <c r="L208" s="3">
        <f t="shared" si="30"/>
        <v>7.3661757434268517E-12</v>
      </c>
      <c r="M208" s="3">
        <f t="shared" si="31"/>
        <v>2640268064.3050709</v>
      </c>
      <c r="N208" s="29">
        <f t="shared" si="32"/>
        <v>2.6402680643050709</v>
      </c>
      <c r="O208" s="30">
        <f t="shared" si="33"/>
        <v>0.37053571428571436</v>
      </c>
      <c r="P208" s="175">
        <f t="shared" si="34"/>
        <v>1.9448678571428579E-2</v>
      </c>
      <c r="Q208" s="26">
        <f t="shared" si="35"/>
        <v>2.6402680643050709</v>
      </c>
      <c r="AF208" s="24"/>
      <c r="AG208" s="202"/>
      <c r="AH208" s="191"/>
      <c r="AI208" s="37"/>
      <c r="AJ208" s="203"/>
      <c r="AK208" s="31"/>
      <c r="AL208" s="24"/>
      <c r="AM208" s="202"/>
      <c r="AN208" s="191"/>
      <c r="AO208" s="37"/>
      <c r="AP208" s="37"/>
      <c r="AQ208" s="37"/>
      <c r="AR208" s="24"/>
      <c r="AS208" s="202"/>
      <c r="AT208" s="191"/>
      <c r="AU208" s="24"/>
      <c r="AV208" s="202"/>
      <c r="AW208" s="191"/>
      <c r="AX208" s="24"/>
      <c r="AY208" s="202"/>
      <c r="AZ208" s="191"/>
      <c r="BA208" s="23"/>
      <c r="BB208" s="23"/>
      <c r="BC208" s="23"/>
      <c r="BD208" s="23"/>
      <c r="BE208" s="23"/>
      <c r="BF208" s="23"/>
      <c r="BG208" s="23"/>
      <c r="BH208" s="23"/>
      <c r="BI208" s="23"/>
      <c r="BJ208" s="24"/>
      <c r="BK208" s="202"/>
      <c r="BL208" s="191"/>
      <c r="BM208" s="37"/>
      <c r="BN208" s="203"/>
      <c r="BO208" s="31"/>
      <c r="BP208" s="24"/>
      <c r="BQ208" s="202"/>
      <c r="BR208" s="191"/>
      <c r="BS208" s="37"/>
      <c r="BT208" s="37"/>
      <c r="BU208" s="37"/>
      <c r="BV208" s="24"/>
      <c r="BW208" s="202"/>
      <c r="BX208" s="191"/>
      <c r="BY208" s="24"/>
      <c r="BZ208" s="202"/>
      <c r="CA208" s="191"/>
      <c r="CB208" s="24"/>
      <c r="CC208" s="202"/>
      <c r="CD208" s="191"/>
    </row>
    <row r="209" spans="1:82">
      <c r="A209" s="81">
        <v>51</v>
      </c>
      <c r="B209" s="82">
        <v>39</v>
      </c>
      <c r="C209" s="82">
        <v>54</v>
      </c>
      <c r="D209" s="82">
        <v>4</v>
      </c>
      <c r="E209" s="82">
        <v>3</v>
      </c>
      <c r="F209" s="82">
        <f t="shared" si="27"/>
        <v>3.5</v>
      </c>
      <c r="G209" s="200">
        <v>3</v>
      </c>
      <c r="H209" s="82">
        <v>5.8999999999999997E-2</v>
      </c>
      <c r="I209" s="82">
        <v>24.1</v>
      </c>
      <c r="J209" s="179">
        <f t="shared" si="28"/>
        <v>0.24481327800829872</v>
      </c>
      <c r="K209" s="82">
        <f t="shared" si="29"/>
        <v>1.2849759336099586E-2</v>
      </c>
      <c r="L209" s="3">
        <f t="shared" si="30"/>
        <v>7.3661757434268517E-12</v>
      </c>
      <c r="M209" s="3">
        <f t="shared" si="31"/>
        <v>1744427472.7718744</v>
      </c>
      <c r="N209" s="29">
        <f t="shared" si="32"/>
        <v>1.7444274727718745</v>
      </c>
      <c r="O209" s="30">
        <f t="shared" si="33"/>
        <v>0.24481327800829872</v>
      </c>
      <c r="P209" s="175">
        <f t="shared" si="34"/>
        <v>1.2849759336099586E-2</v>
      </c>
      <c r="Q209" s="26">
        <f t="shared" si="35"/>
        <v>1.7444274727718745</v>
      </c>
      <c r="AF209" s="24"/>
      <c r="AG209" s="202"/>
      <c r="AH209" s="191"/>
      <c r="AI209" s="37"/>
      <c r="AJ209" s="203"/>
      <c r="AK209" s="31"/>
      <c r="AL209" s="24"/>
      <c r="AM209" s="202"/>
      <c r="AN209" s="191"/>
      <c r="AO209" s="37"/>
      <c r="AP209" s="37"/>
      <c r="AQ209" s="37"/>
      <c r="AR209" s="24"/>
      <c r="AS209" s="202"/>
      <c r="AT209" s="191"/>
      <c r="AU209" s="24"/>
      <c r="AV209" s="202"/>
      <c r="AW209" s="191"/>
      <c r="AX209" s="24"/>
      <c r="AY209" s="202"/>
      <c r="AZ209" s="191"/>
      <c r="BA209" s="23"/>
      <c r="BB209" s="23"/>
      <c r="BC209" s="23"/>
      <c r="BD209" s="23"/>
      <c r="BE209" s="23"/>
      <c r="BF209" s="23"/>
      <c r="BG209" s="23"/>
      <c r="BH209" s="23"/>
      <c r="BI209" s="23"/>
      <c r="BJ209" s="24"/>
      <c r="BK209" s="202"/>
      <c r="BL209" s="191"/>
      <c r="BM209" s="37"/>
      <c r="BN209" s="203"/>
      <c r="BO209" s="31"/>
      <c r="BP209" s="24"/>
      <c r="BQ209" s="202"/>
      <c r="BR209" s="191"/>
      <c r="BS209" s="37"/>
      <c r="BT209" s="37"/>
      <c r="BU209" s="37"/>
      <c r="BV209" s="24"/>
      <c r="BW209" s="202"/>
      <c r="BX209" s="191"/>
      <c r="BY209" s="24"/>
      <c r="BZ209" s="202"/>
      <c r="CA209" s="191"/>
      <c r="CB209" s="24"/>
      <c r="CC209" s="202"/>
      <c r="CD209" s="191"/>
    </row>
    <row r="210" spans="1:82">
      <c r="A210" s="81">
        <v>51</v>
      </c>
      <c r="B210" s="82">
        <v>39</v>
      </c>
      <c r="C210" s="82">
        <v>54</v>
      </c>
      <c r="D210" s="82">
        <v>4</v>
      </c>
      <c r="E210" s="82">
        <v>3</v>
      </c>
      <c r="F210" s="82">
        <f t="shared" si="27"/>
        <v>3.5</v>
      </c>
      <c r="G210" s="200">
        <v>4</v>
      </c>
      <c r="H210" s="82">
        <v>0.12</v>
      </c>
      <c r="I210" s="82">
        <v>21.2</v>
      </c>
      <c r="J210" s="179">
        <f t="shared" si="28"/>
        <v>0.56603773584905659</v>
      </c>
      <c r="K210" s="82">
        <f t="shared" si="29"/>
        <v>2.9710188679245287E-2</v>
      </c>
      <c r="L210" s="3">
        <f t="shared" si="30"/>
        <v>7.3661757434268517E-12</v>
      </c>
      <c r="M210" s="3">
        <f t="shared" si="31"/>
        <v>4033326072.3187251</v>
      </c>
      <c r="N210" s="29">
        <f t="shared" si="32"/>
        <v>4.033326072318725</v>
      </c>
      <c r="O210" s="30">
        <f t="shared" si="33"/>
        <v>0.56603773584905659</v>
      </c>
      <c r="P210" s="175">
        <f t="shared" si="34"/>
        <v>2.9710188679245287E-2</v>
      </c>
      <c r="Q210" s="26">
        <f t="shared" si="35"/>
        <v>4.033326072318725</v>
      </c>
      <c r="AF210" s="24"/>
      <c r="AG210" s="202"/>
      <c r="AH210" s="191"/>
      <c r="AI210" s="37"/>
      <c r="AJ210" s="203"/>
      <c r="AK210" s="31"/>
      <c r="AL210" s="24"/>
      <c r="AM210" s="202"/>
      <c r="AN210" s="191"/>
      <c r="AO210" s="37"/>
      <c r="AP210" s="37"/>
      <c r="AQ210" s="37"/>
      <c r="AR210" s="24"/>
      <c r="AS210" s="202"/>
      <c r="AT210" s="191"/>
      <c r="AU210" s="24"/>
      <c r="AV210" s="202"/>
      <c r="AW210" s="191"/>
      <c r="AX210" s="24"/>
      <c r="AY210" s="202"/>
      <c r="AZ210" s="191"/>
      <c r="BA210" s="23"/>
      <c r="BB210" s="23"/>
      <c r="BC210" s="23"/>
      <c r="BD210" s="23"/>
      <c r="BE210" s="23"/>
      <c r="BF210" s="23"/>
      <c r="BG210" s="23"/>
      <c r="BH210" s="23"/>
      <c r="BI210" s="23"/>
      <c r="BJ210" s="24"/>
      <c r="BK210" s="202"/>
      <c r="BL210" s="191"/>
      <c r="BM210" s="37"/>
      <c r="BN210" s="203"/>
      <c r="BO210" s="31"/>
      <c r="BP210" s="24"/>
      <c r="BQ210" s="202"/>
      <c r="BR210" s="191"/>
      <c r="BS210" s="37"/>
      <c r="BT210" s="37"/>
      <c r="BU210" s="37"/>
      <c r="BV210" s="24"/>
      <c r="BW210" s="202"/>
      <c r="BX210" s="191"/>
      <c r="BY210" s="24"/>
      <c r="BZ210" s="202"/>
      <c r="CA210" s="191"/>
      <c r="CB210" s="24"/>
      <c r="CC210" s="202"/>
      <c r="CD210" s="191"/>
    </row>
    <row r="211" spans="1:82">
      <c r="A211" s="204">
        <v>52</v>
      </c>
      <c r="B211" s="205">
        <v>30</v>
      </c>
      <c r="C211" s="205">
        <v>43</v>
      </c>
      <c r="D211" s="205">
        <v>3.5</v>
      </c>
      <c r="E211" s="205">
        <v>3</v>
      </c>
      <c r="F211" s="205">
        <f t="shared" si="27"/>
        <v>3.25</v>
      </c>
      <c r="G211" s="206">
        <v>1</v>
      </c>
      <c r="H211" s="205">
        <v>0.14599999999999999</v>
      </c>
      <c r="I211" s="205">
        <v>16.899999999999999</v>
      </c>
      <c r="J211" s="207">
        <f t="shared" si="28"/>
        <v>0.86390532544378706</v>
      </c>
      <c r="K211" s="205">
        <f t="shared" si="29"/>
        <v>2.2895506903353059E-2</v>
      </c>
      <c r="L211" s="205">
        <f t="shared" si="30"/>
        <v>5.4765031603502276E-12</v>
      </c>
      <c r="M211" s="205">
        <f t="shared" si="31"/>
        <v>4180679939.9142261</v>
      </c>
      <c r="N211" s="252">
        <f t="shared" si="32"/>
        <v>4.180679939914226</v>
      </c>
      <c r="O211" s="207">
        <f t="shared" si="33"/>
        <v>0.86390532544378706</v>
      </c>
      <c r="P211" s="253">
        <f t="shared" si="34"/>
        <v>2.2895506903353059E-2</v>
      </c>
      <c r="Q211" s="254">
        <f t="shared" si="35"/>
        <v>4.180679939914226</v>
      </c>
      <c r="AF211" s="24"/>
      <c r="AG211" s="202"/>
      <c r="AH211" s="191"/>
      <c r="AI211" s="37"/>
      <c r="AJ211" s="203"/>
      <c r="AK211" s="31"/>
      <c r="AL211" s="24"/>
      <c r="AM211" s="202"/>
      <c r="AN211" s="191"/>
      <c r="AO211" s="37"/>
      <c r="AP211" s="37"/>
      <c r="AQ211" s="37"/>
      <c r="AR211" s="24"/>
      <c r="AS211" s="202"/>
      <c r="AT211" s="191"/>
      <c r="AU211" s="24"/>
      <c r="AV211" s="202"/>
      <c r="AW211" s="191"/>
      <c r="AX211" s="24"/>
      <c r="AY211" s="202"/>
      <c r="AZ211" s="191"/>
      <c r="BA211" s="23"/>
      <c r="BB211" s="23"/>
      <c r="BC211" s="23"/>
      <c r="BD211" s="23"/>
      <c r="BE211" s="23"/>
      <c r="BF211" s="23"/>
      <c r="BG211" s="23"/>
      <c r="BH211" s="23"/>
      <c r="BI211" s="23"/>
      <c r="BJ211" s="24"/>
      <c r="BK211" s="202"/>
      <c r="BL211" s="191"/>
      <c r="BM211" s="37"/>
      <c r="BN211" s="203"/>
      <c r="BO211" s="31"/>
      <c r="BP211" s="24"/>
      <c r="BQ211" s="202"/>
      <c r="BR211" s="191"/>
      <c r="BS211" s="37"/>
      <c r="BT211" s="37"/>
      <c r="BU211" s="37"/>
      <c r="BV211" s="24"/>
      <c r="BW211" s="202"/>
      <c r="BX211" s="191"/>
      <c r="BY211" s="24"/>
      <c r="BZ211" s="202"/>
      <c r="CA211" s="191"/>
      <c r="CB211" s="24"/>
      <c r="CC211" s="202"/>
      <c r="CD211" s="191"/>
    </row>
    <row r="212" spans="1:82">
      <c r="A212" s="204">
        <v>52</v>
      </c>
      <c r="B212" s="205">
        <v>30</v>
      </c>
      <c r="C212" s="205">
        <v>43</v>
      </c>
      <c r="D212" s="205">
        <v>3.5</v>
      </c>
      <c r="E212" s="205">
        <v>3</v>
      </c>
      <c r="F212" s="205">
        <f t="shared" si="27"/>
        <v>3.25</v>
      </c>
      <c r="G212" s="206">
        <v>2</v>
      </c>
      <c r="H212" s="205">
        <v>8.5999999999999993E-2</v>
      </c>
      <c r="I212" s="205">
        <v>20.8</v>
      </c>
      <c r="J212" s="207">
        <f t="shared" si="28"/>
        <v>0.41346153846153838</v>
      </c>
      <c r="K212" s="205">
        <f t="shared" si="29"/>
        <v>1.095769551282051E-2</v>
      </c>
      <c r="L212" s="205">
        <f t="shared" si="30"/>
        <v>5.4765031603502276E-12</v>
      </c>
      <c r="M212" s="205">
        <f t="shared" si="31"/>
        <v>2000856238.3664825</v>
      </c>
      <c r="N212" s="252">
        <f t="shared" si="32"/>
        <v>2.0008562383664823</v>
      </c>
      <c r="O212" s="207">
        <f t="shared" si="33"/>
        <v>0.41346153846153838</v>
      </c>
      <c r="P212" s="253">
        <f t="shared" si="34"/>
        <v>1.095769551282051E-2</v>
      </c>
      <c r="Q212" s="254">
        <f t="shared" si="35"/>
        <v>2.0008562383664823</v>
      </c>
      <c r="AF212" s="24"/>
      <c r="AG212" s="202"/>
      <c r="AH212" s="191"/>
      <c r="AI212" s="37"/>
      <c r="AJ212" s="203"/>
      <c r="AK212" s="31"/>
      <c r="AL212" s="24"/>
      <c r="AM212" s="202"/>
      <c r="AN212" s="191"/>
      <c r="AO212" s="37"/>
      <c r="AP212" s="37"/>
      <c r="AQ212" s="37"/>
      <c r="AR212" s="24"/>
      <c r="AS212" s="202"/>
      <c r="AT212" s="191"/>
      <c r="AU212" s="24"/>
      <c r="AV212" s="202"/>
      <c r="AW212" s="191"/>
      <c r="AX212" s="24"/>
      <c r="AY212" s="202"/>
      <c r="AZ212" s="191"/>
      <c r="BA212" s="23"/>
      <c r="BB212" s="23"/>
      <c r="BC212" s="23"/>
      <c r="BD212" s="23"/>
      <c r="BE212" s="23"/>
      <c r="BF212" s="23"/>
      <c r="BG212" s="23"/>
      <c r="BH212" s="23"/>
      <c r="BI212" s="23"/>
      <c r="BJ212" s="24"/>
      <c r="BK212" s="202"/>
      <c r="BL212" s="191"/>
      <c r="BM212" s="37"/>
      <c r="BN212" s="203"/>
      <c r="BO212" s="31"/>
      <c r="BP212" s="24"/>
      <c r="BQ212" s="202"/>
      <c r="BR212" s="191"/>
      <c r="BS212" s="37"/>
      <c r="BT212" s="37"/>
      <c r="BU212" s="37"/>
      <c r="BV212" s="24"/>
      <c r="BW212" s="202"/>
      <c r="BX212" s="191"/>
      <c r="BY212" s="24"/>
      <c r="BZ212" s="202"/>
      <c r="CA212" s="191"/>
      <c r="CB212" s="24"/>
      <c r="CC212" s="202"/>
      <c r="CD212" s="191"/>
    </row>
    <row r="213" spans="1:82">
      <c r="A213" s="204">
        <v>52</v>
      </c>
      <c r="B213" s="205">
        <v>30</v>
      </c>
      <c r="C213" s="205">
        <v>43</v>
      </c>
      <c r="D213" s="205">
        <v>3.5</v>
      </c>
      <c r="E213" s="205">
        <v>3</v>
      </c>
      <c r="F213" s="205">
        <f t="shared" si="27"/>
        <v>3.25</v>
      </c>
      <c r="G213" s="206">
        <v>3</v>
      </c>
      <c r="H213" s="205">
        <v>5.5E-2</v>
      </c>
      <c r="I213" s="205">
        <v>21.5</v>
      </c>
      <c r="J213" s="207">
        <f t="shared" si="28"/>
        <v>0.2558139534883721</v>
      </c>
      <c r="K213" s="205">
        <f t="shared" si="29"/>
        <v>6.7796666666666665E-3</v>
      </c>
      <c r="L213" s="205">
        <f t="shared" si="30"/>
        <v>5.4765031603502276E-12</v>
      </c>
      <c r="M213" s="205">
        <f t="shared" si="31"/>
        <v>1237955401.1310203</v>
      </c>
      <c r="N213" s="252">
        <f t="shared" si="32"/>
        <v>1.2379554011310203</v>
      </c>
      <c r="O213" s="207">
        <f t="shared" si="33"/>
        <v>0.2558139534883721</v>
      </c>
      <c r="P213" s="253">
        <f t="shared" si="34"/>
        <v>6.7796666666666665E-3</v>
      </c>
      <c r="Q213" s="254">
        <f t="shared" si="35"/>
        <v>1.2379554011310203</v>
      </c>
      <c r="AF213" s="24"/>
      <c r="AG213" s="202"/>
      <c r="AH213" s="191"/>
      <c r="AI213" s="37"/>
      <c r="AJ213" s="203"/>
      <c r="AK213" s="31"/>
      <c r="AL213" s="24"/>
      <c r="AM213" s="202"/>
      <c r="AN213" s="191"/>
      <c r="AO213" s="37"/>
      <c r="AP213" s="37"/>
      <c r="AQ213" s="37"/>
      <c r="AR213" s="24"/>
      <c r="AS213" s="202"/>
      <c r="AT213" s="191"/>
      <c r="AU213" s="24"/>
      <c r="AV213" s="202"/>
      <c r="AW213" s="191"/>
      <c r="AX213" s="24"/>
      <c r="AY213" s="202"/>
      <c r="AZ213" s="191"/>
      <c r="BA213" s="23"/>
      <c r="BB213" s="23"/>
      <c r="BC213" s="23"/>
      <c r="BD213" s="23"/>
      <c r="BE213" s="23"/>
      <c r="BF213" s="23"/>
      <c r="BG213" s="23"/>
      <c r="BH213" s="23"/>
      <c r="BI213" s="23"/>
      <c r="BJ213" s="24"/>
      <c r="BK213" s="202"/>
      <c r="BL213" s="191"/>
      <c r="BM213" s="37"/>
      <c r="BN213" s="203"/>
      <c r="BO213" s="31"/>
      <c r="BP213" s="24"/>
      <c r="BQ213" s="202"/>
      <c r="BR213" s="191"/>
      <c r="BS213" s="37"/>
      <c r="BT213" s="37"/>
      <c r="BU213" s="37"/>
      <c r="BV213" s="24"/>
      <c r="BW213" s="202"/>
      <c r="BX213" s="191"/>
      <c r="BY213" s="24"/>
      <c r="BZ213" s="202"/>
      <c r="CA213" s="191"/>
      <c r="CB213" s="24"/>
      <c r="CC213" s="202"/>
      <c r="CD213" s="191"/>
    </row>
    <row r="214" spans="1:82">
      <c r="A214" s="204">
        <v>52</v>
      </c>
      <c r="B214" s="205">
        <v>30</v>
      </c>
      <c r="C214" s="205">
        <v>43</v>
      </c>
      <c r="D214" s="205">
        <v>3.5</v>
      </c>
      <c r="E214" s="205">
        <v>3</v>
      </c>
      <c r="F214" s="205">
        <f t="shared" si="27"/>
        <v>3.25</v>
      </c>
      <c r="G214" s="206">
        <v>4</v>
      </c>
      <c r="H214" s="205">
        <v>0.14599999999999999</v>
      </c>
      <c r="I214" s="205">
        <v>21.6</v>
      </c>
      <c r="J214" s="207">
        <f t="shared" si="28"/>
        <v>0.67592592592592582</v>
      </c>
      <c r="K214" s="205">
        <f t="shared" si="29"/>
        <v>1.7913614197530861E-2</v>
      </c>
      <c r="L214" s="205">
        <f t="shared" si="30"/>
        <v>5.4765031603502276E-12</v>
      </c>
      <c r="M214" s="205">
        <f t="shared" si="31"/>
        <v>3270994952.9884448</v>
      </c>
      <c r="N214" s="252">
        <f t="shared" si="32"/>
        <v>3.270994952988445</v>
      </c>
      <c r="O214" s="207">
        <f t="shared" si="33"/>
        <v>0.67592592592592582</v>
      </c>
      <c r="P214" s="253">
        <f t="shared" si="34"/>
        <v>1.7913614197530861E-2</v>
      </c>
      <c r="Q214" s="254">
        <f t="shared" si="35"/>
        <v>3.270994952988445</v>
      </c>
      <c r="AF214" s="24"/>
      <c r="AG214" s="202"/>
      <c r="AH214" s="191"/>
      <c r="AI214" s="37"/>
      <c r="AJ214" s="203"/>
      <c r="AK214" s="31"/>
      <c r="AL214" s="24"/>
      <c r="AM214" s="202"/>
      <c r="AN214" s="191"/>
      <c r="AO214" s="37"/>
      <c r="AP214" s="37"/>
      <c r="AQ214" s="37"/>
      <c r="AR214" s="24"/>
      <c r="AS214" s="202"/>
      <c r="AT214" s="191"/>
      <c r="AU214" s="24"/>
      <c r="AV214" s="202"/>
      <c r="AW214" s="191"/>
      <c r="AX214" s="24"/>
      <c r="AY214" s="202"/>
      <c r="AZ214" s="191"/>
      <c r="BA214" s="23"/>
      <c r="BB214" s="23"/>
      <c r="BC214" s="23"/>
      <c r="BD214" s="23"/>
      <c r="BE214" s="23"/>
      <c r="BF214" s="23"/>
      <c r="BG214" s="23"/>
      <c r="BH214" s="23"/>
      <c r="BI214" s="23"/>
      <c r="BJ214" s="24"/>
      <c r="BK214" s="202"/>
      <c r="BL214" s="191"/>
      <c r="BM214" s="37"/>
      <c r="BN214" s="203"/>
      <c r="BO214" s="31"/>
      <c r="BP214" s="24"/>
      <c r="BQ214" s="202"/>
      <c r="BR214" s="191"/>
      <c r="BS214" s="37"/>
      <c r="BT214" s="37"/>
      <c r="BU214" s="37"/>
      <c r="BV214" s="24"/>
      <c r="BW214" s="202"/>
      <c r="BX214" s="191"/>
      <c r="BY214" s="24"/>
      <c r="BZ214" s="202"/>
      <c r="CA214" s="191"/>
      <c r="CB214" s="24"/>
      <c r="CC214" s="202"/>
      <c r="CD214" s="191"/>
    </row>
    <row r="215" spans="1:82">
      <c r="A215" s="81">
        <v>53</v>
      </c>
      <c r="B215" s="82">
        <v>44</v>
      </c>
      <c r="C215" s="82">
        <v>52</v>
      </c>
      <c r="D215" s="82">
        <v>4</v>
      </c>
      <c r="E215" s="82">
        <v>3</v>
      </c>
      <c r="F215" s="82">
        <f t="shared" si="27"/>
        <v>3.5</v>
      </c>
      <c r="G215" s="200">
        <v>1</v>
      </c>
      <c r="H215" s="82">
        <v>0.182</v>
      </c>
      <c r="I215" s="82">
        <v>19.5</v>
      </c>
      <c r="J215" s="179">
        <f t="shared" si="28"/>
        <v>0.93333333333333324</v>
      </c>
      <c r="K215" s="82">
        <f t="shared" si="29"/>
        <v>4.3744711111111112E-2</v>
      </c>
      <c r="L215" s="3">
        <f t="shared" si="30"/>
        <v>7.3661757434268517E-12</v>
      </c>
      <c r="M215" s="3">
        <f t="shared" si="31"/>
        <v>5938591833.1023197</v>
      </c>
      <c r="N215" s="29">
        <f t="shared" si="32"/>
        <v>5.9385918331023193</v>
      </c>
      <c r="O215" s="30">
        <f t="shared" si="33"/>
        <v>0.93333333333333324</v>
      </c>
      <c r="P215" s="175">
        <f t="shared" si="34"/>
        <v>4.3744711111111112E-2</v>
      </c>
      <c r="Q215" s="26">
        <f t="shared" si="35"/>
        <v>5.9385918331023193</v>
      </c>
      <c r="AF215" s="24"/>
      <c r="AG215" s="202"/>
      <c r="AH215" s="191"/>
      <c r="AI215" s="37"/>
      <c r="AJ215" s="203"/>
      <c r="AK215" s="31"/>
      <c r="AL215" s="24"/>
      <c r="AM215" s="202"/>
      <c r="AN215" s="191"/>
      <c r="AO215" s="37"/>
      <c r="AP215" s="37"/>
      <c r="AQ215" s="37"/>
      <c r="AR215" s="24"/>
      <c r="AS215" s="202"/>
      <c r="AT215" s="191"/>
      <c r="AU215" s="24"/>
      <c r="AV215" s="202"/>
      <c r="AW215" s="191"/>
      <c r="AX215" s="24"/>
      <c r="AY215" s="202"/>
      <c r="AZ215" s="191"/>
      <c r="BA215" s="23"/>
      <c r="BB215" s="23"/>
      <c r="BC215" s="23"/>
      <c r="BD215" s="23"/>
      <c r="BE215" s="23"/>
      <c r="BF215" s="23"/>
      <c r="BG215" s="23"/>
      <c r="BH215" s="23"/>
      <c r="BI215" s="23"/>
      <c r="BJ215" s="24"/>
      <c r="BK215" s="202"/>
      <c r="BL215" s="191"/>
      <c r="BM215" s="37"/>
      <c r="BN215" s="203"/>
      <c r="BO215" s="31"/>
      <c r="BP215" s="24"/>
      <c r="BQ215" s="202"/>
      <c r="BR215" s="191"/>
      <c r="BS215" s="37"/>
      <c r="BT215" s="37"/>
      <c r="BU215" s="37"/>
      <c r="BV215" s="24"/>
      <c r="BW215" s="202"/>
      <c r="BX215" s="191"/>
      <c r="BY215" s="24"/>
      <c r="BZ215" s="202"/>
      <c r="CA215" s="191"/>
      <c r="CB215" s="24"/>
      <c r="CC215" s="202"/>
      <c r="CD215" s="191"/>
    </row>
    <row r="216" spans="1:82">
      <c r="A216" s="81">
        <v>53</v>
      </c>
      <c r="B216" s="82">
        <v>44</v>
      </c>
      <c r="C216" s="82">
        <v>52</v>
      </c>
      <c r="D216" s="82">
        <v>4</v>
      </c>
      <c r="E216" s="82">
        <v>3</v>
      </c>
      <c r="F216" s="82">
        <f t="shared" si="27"/>
        <v>3.5</v>
      </c>
      <c r="G216" s="200">
        <v>2</v>
      </c>
      <c r="H216" s="82">
        <v>0.221</v>
      </c>
      <c r="I216" s="82">
        <v>21.7</v>
      </c>
      <c r="J216" s="179">
        <f t="shared" si="28"/>
        <v>1.0184331797235022</v>
      </c>
      <c r="K216" s="82">
        <f t="shared" si="29"/>
        <v>4.7733284178187403E-2</v>
      </c>
      <c r="L216" s="3">
        <f t="shared" si="30"/>
        <v>7.3661757434268517E-12</v>
      </c>
      <c r="M216" s="3">
        <f t="shared" si="31"/>
        <v>6480063175.3568764</v>
      </c>
      <c r="N216" s="29">
        <f t="shared" si="32"/>
        <v>6.480063175356876</v>
      </c>
      <c r="O216" s="30">
        <f t="shared" si="33"/>
        <v>1.0184331797235022</v>
      </c>
      <c r="P216" s="175">
        <f t="shared" si="34"/>
        <v>4.7733284178187403E-2</v>
      </c>
      <c r="Q216" s="26">
        <f t="shared" si="35"/>
        <v>6.480063175356876</v>
      </c>
      <c r="AF216" s="24"/>
      <c r="AG216" s="202"/>
      <c r="AH216" s="191"/>
      <c r="AI216" s="37"/>
      <c r="AJ216" s="203"/>
      <c r="AK216" s="31"/>
      <c r="AL216" s="24"/>
      <c r="AM216" s="202"/>
      <c r="AN216" s="191"/>
      <c r="AO216" s="37"/>
      <c r="AP216" s="37"/>
      <c r="AQ216" s="37"/>
      <c r="AR216" s="24"/>
      <c r="AS216" s="202"/>
      <c r="AT216" s="191"/>
      <c r="AU216" s="24"/>
      <c r="AV216" s="202"/>
      <c r="AW216" s="191"/>
      <c r="AX216" s="24"/>
      <c r="AY216" s="202"/>
      <c r="AZ216" s="191"/>
      <c r="BA216" s="23"/>
      <c r="BB216" s="23"/>
      <c r="BC216" s="23"/>
      <c r="BD216" s="23"/>
      <c r="BE216" s="23"/>
      <c r="BF216" s="23"/>
      <c r="BG216" s="23"/>
      <c r="BH216" s="23"/>
      <c r="BI216" s="23"/>
      <c r="BJ216" s="24"/>
      <c r="BK216" s="202"/>
      <c r="BL216" s="191"/>
      <c r="BM216" s="37"/>
      <c r="BN216" s="203"/>
      <c r="BO216" s="31"/>
      <c r="BP216" s="24"/>
      <c r="BQ216" s="202"/>
      <c r="BR216" s="191"/>
      <c r="BS216" s="37"/>
      <c r="BT216" s="37"/>
      <c r="BU216" s="37"/>
      <c r="BV216" s="24"/>
      <c r="BW216" s="202"/>
      <c r="BX216" s="191"/>
      <c r="BY216" s="24"/>
      <c r="BZ216" s="202"/>
      <c r="CA216" s="191"/>
      <c r="CB216" s="24"/>
      <c r="CC216" s="202"/>
      <c r="CD216" s="191"/>
    </row>
    <row r="217" spans="1:82">
      <c r="A217" s="81">
        <v>53</v>
      </c>
      <c r="B217" s="82">
        <v>44</v>
      </c>
      <c r="C217" s="82">
        <v>52</v>
      </c>
      <c r="D217" s="82">
        <v>4</v>
      </c>
      <c r="E217" s="82">
        <v>3</v>
      </c>
      <c r="F217" s="82">
        <f t="shared" si="27"/>
        <v>3.5</v>
      </c>
      <c r="G217" s="200">
        <v>3</v>
      </c>
      <c r="H217" s="82">
        <v>0.17399999999999999</v>
      </c>
      <c r="I217" s="82">
        <v>20.6</v>
      </c>
      <c r="J217" s="179">
        <f t="shared" si="28"/>
        <v>0.84466019417475713</v>
      </c>
      <c r="K217" s="82">
        <f t="shared" si="29"/>
        <v>3.958866019417475E-2</v>
      </c>
      <c r="L217" s="3">
        <f t="shared" si="30"/>
        <v>7.3661757434268517E-12</v>
      </c>
      <c r="M217" s="3">
        <f t="shared" si="31"/>
        <v>5374384425.9351778</v>
      </c>
      <c r="N217" s="29">
        <f t="shared" si="32"/>
        <v>5.3743844259351778</v>
      </c>
      <c r="O217" s="30">
        <f t="shared" si="33"/>
        <v>0.84466019417475713</v>
      </c>
      <c r="P217" s="175">
        <f t="shared" si="34"/>
        <v>3.958866019417475E-2</v>
      </c>
      <c r="Q217" s="26">
        <f t="shared" si="35"/>
        <v>5.3743844259351778</v>
      </c>
      <c r="AF217" s="24"/>
      <c r="AG217" s="202"/>
      <c r="AH217" s="191"/>
      <c r="AI217" s="37"/>
      <c r="AJ217" s="203"/>
      <c r="AK217" s="31"/>
      <c r="AL217" s="24"/>
      <c r="AM217" s="202"/>
      <c r="AN217" s="191"/>
      <c r="AO217" s="37"/>
      <c r="AP217" s="37"/>
      <c r="AQ217" s="37"/>
      <c r="AR217" s="24"/>
      <c r="AS217" s="202"/>
      <c r="AT217" s="191"/>
      <c r="AU217" s="24"/>
      <c r="AV217" s="202"/>
      <c r="AW217" s="191"/>
      <c r="AX217" s="24"/>
      <c r="AY217" s="202"/>
      <c r="AZ217" s="191"/>
      <c r="BA217" s="23"/>
      <c r="BB217" s="23"/>
      <c r="BC217" s="23"/>
      <c r="BD217" s="23"/>
      <c r="BE217" s="23"/>
      <c r="BF217" s="23"/>
      <c r="BG217" s="23"/>
      <c r="BH217" s="23"/>
      <c r="BI217" s="23"/>
      <c r="BJ217" s="24"/>
      <c r="BK217" s="202"/>
      <c r="BL217" s="191"/>
      <c r="BM217" s="37"/>
      <c r="BN217" s="203"/>
      <c r="BO217" s="31"/>
      <c r="BP217" s="24"/>
      <c r="BQ217" s="202"/>
      <c r="BR217" s="191"/>
      <c r="BS217" s="37"/>
      <c r="BT217" s="37"/>
      <c r="BU217" s="37"/>
      <c r="BV217" s="24"/>
      <c r="BW217" s="202"/>
      <c r="BX217" s="191"/>
      <c r="BY217" s="24"/>
      <c r="BZ217" s="202"/>
      <c r="CA217" s="191"/>
      <c r="CB217" s="24"/>
      <c r="CC217" s="202"/>
      <c r="CD217" s="191"/>
    </row>
    <row r="218" spans="1:82">
      <c r="A218" s="81">
        <v>53</v>
      </c>
      <c r="B218" s="82">
        <v>44</v>
      </c>
      <c r="C218" s="82">
        <v>52</v>
      </c>
      <c r="D218" s="82">
        <v>4</v>
      </c>
      <c r="E218" s="82">
        <v>3</v>
      </c>
      <c r="F218" s="82">
        <f t="shared" si="27"/>
        <v>3.5</v>
      </c>
      <c r="G218" s="200">
        <v>4</v>
      </c>
      <c r="H218" s="82">
        <v>0.17199999999999999</v>
      </c>
      <c r="I218" s="82">
        <v>22</v>
      </c>
      <c r="J218" s="179">
        <f t="shared" si="28"/>
        <v>0.78181818181818175</v>
      </c>
      <c r="K218" s="82">
        <f t="shared" si="29"/>
        <v>3.6643296969696967E-2</v>
      </c>
      <c r="L218" s="3">
        <f t="shared" si="30"/>
        <v>7.3661757434268517E-12</v>
      </c>
      <c r="M218" s="3">
        <f t="shared" si="31"/>
        <v>4974534717.3389559</v>
      </c>
      <c r="N218" s="29">
        <f t="shared" si="32"/>
        <v>4.9745347173389556</v>
      </c>
      <c r="O218" s="30">
        <f t="shared" si="33"/>
        <v>0.78181818181818175</v>
      </c>
      <c r="P218" s="175">
        <f t="shared" si="34"/>
        <v>3.6643296969696967E-2</v>
      </c>
      <c r="Q218" s="26">
        <f t="shared" si="35"/>
        <v>4.9745347173389556</v>
      </c>
      <c r="AF218" s="24"/>
      <c r="AG218" s="202"/>
      <c r="AH218" s="191"/>
      <c r="AI218" s="37"/>
      <c r="AJ218" s="203"/>
      <c r="AK218" s="31"/>
      <c r="AL218" s="24"/>
      <c r="AM218" s="202"/>
      <c r="AN218" s="191"/>
      <c r="AO218" s="37"/>
      <c r="AP218" s="37"/>
      <c r="AQ218" s="37"/>
      <c r="AR218" s="24"/>
      <c r="AS218" s="202"/>
      <c r="AT218" s="191"/>
      <c r="AU218" s="24"/>
      <c r="AV218" s="202"/>
      <c r="AW218" s="191"/>
      <c r="AX218" s="24"/>
      <c r="AY218" s="202"/>
      <c r="AZ218" s="191"/>
      <c r="BA218" s="23"/>
      <c r="BB218" s="23"/>
      <c r="BC218" s="23"/>
      <c r="BD218" s="23"/>
      <c r="BE218" s="23"/>
      <c r="BF218" s="23"/>
      <c r="BG218" s="23"/>
      <c r="BH218" s="23"/>
      <c r="BI218" s="23"/>
      <c r="BJ218" s="24"/>
      <c r="BK218" s="202"/>
      <c r="BL218" s="191"/>
      <c r="BM218" s="37"/>
      <c r="BN218" s="203"/>
      <c r="BO218" s="31"/>
      <c r="BP218" s="24"/>
      <c r="BQ218" s="202"/>
      <c r="BR218" s="191"/>
      <c r="BS218" s="37"/>
      <c r="BT218" s="37"/>
      <c r="BU218" s="37"/>
      <c r="BV218" s="24"/>
      <c r="BW218" s="202"/>
      <c r="BX218" s="191"/>
      <c r="BY218" s="24"/>
      <c r="BZ218" s="202"/>
      <c r="CA218" s="191"/>
      <c r="CB218" s="24"/>
      <c r="CC218" s="202"/>
      <c r="CD218" s="191"/>
    </row>
    <row r="219" spans="1:82">
      <c r="A219" s="204">
        <v>54</v>
      </c>
      <c r="B219" s="205">
        <v>38</v>
      </c>
      <c r="C219" s="205">
        <v>60</v>
      </c>
      <c r="D219" s="205">
        <v>4</v>
      </c>
      <c r="E219" s="205">
        <v>2.5</v>
      </c>
      <c r="F219" s="205">
        <f t="shared" si="27"/>
        <v>3.25</v>
      </c>
      <c r="G219" s="206">
        <v>1</v>
      </c>
      <c r="H219" s="205">
        <v>6.6000000000000003E-2</v>
      </c>
      <c r="I219" s="205">
        <v>23.5</v>
      </c>
      <c r="J219" s="207">
        <f t="shared" si="28"/>
        <v>0.28085106382978725</v>
      </c>
      <c r="K219" s="205">
        <f t="shared" si="29"/>
        <v>2.0221276595744683E-2</v>
      </c>
      <c r="L219" s="205">
        <f t="shared" si="30"/>
        <v>5.4765031603502276E-12</v>
      </c>
      <c r="M219" s="205">
        <f t="shared" si="31"/>
        <v>3692370113.4962025</v>
      </c>
      <c r="N219" s="252">
        <f t="shared" si="32"/>
        <v>3.6923701134962026</v>
      </c>
      <c r="O219" s="207">
        <f t="shared" si="33"/>
        <v>0.28085106382978725</v>
      </c>
      <c r="P219" s="253">
        <f t="shared" si="34"/>
        <v>2.0221276595744683E-2</v>
      </c>
      <c r="Q219" s="254">
        <f t="shared" si="35"/>
        <v>3.6923701134962026</v>
      </c>
      <c r="AF219" s="24"/>
      <c r="AG219" s="202"/>
      <c r="AH219" s="191"/>
      <c r="AI219" s="37"/>
      <c r="AJ219" s="203"/>
      <c r="AK219" s="31"/>
      <c r="AL219" s="24"/>
      <c r="AM219" s="202"/>
      <c r="AN219" s="191"/>
      <c r="AO219" s="37"/>
      <c r="AP219" s="37"/>
      <c r="AQ219" s="37"/>
      <c r="AR219" s="24"/>
      <c r="AS219" s="202"/>
      <c r="AT219" s="191"/>
      <c r="AU219" s="24"/>
      <c r="AV219" s="202"/>
      <c r="AW219" s="191"/>
      <c r="AX219" s="24"/>
      <c r="AY219" s="202"/>
      <c r="AZ219" s="191"/>
      <c r="BA219" s="23"/>
      <c r="BB219" s="23"/>
      <c r="BC219" s="23"/>
      <c r="BD219" s="23"/>
      <c r="BE219" s="23"/>
      <c r="BF219" s="23"/>
      <c r="BG219" s="23"/>
      <c r="BH219" s="23"/>
      <c r="BI219" s="23"/>
      <c r="BJ219" s="24"/>
      <c r="BK219" s="202"/>
      <c r="BL219" s="191"/>
      <c r="BM219" s="37"/>
      <c r="BN219" s="203"/>
      <c r="BO219" s="31"/>
      <c r="BP219" s="24"/>
      <c r="BQ219" s="202"/>
      <c r="BR219" s="191"/>
      <c r="BS219" s="37"/>
      <c r="BT219" s="37"/>
      <c r="BU219" s="37"/>
      <c r="BV219" s="24"/>
      <c r="BW219" s="202"/>
      <c r="BX219" s="191"/>
      <c r="BY219" s="24"/>
      <c r="BZ219" s="202"/>
      <c r="CA219" s="191"/>
      <c r="CB219" s="24"/>
      <c r="CC219" s="202"/>
      <c r="CD219" s="191"/>
    </row>
    <row r="220" spans="1:82">
      <c r="A220" s="204">
        <v>54</v>
      </c>
      <c r="B220" s="205">
        <v>38</v>
      </c>
      <c r="C220" s="205">
        <v>60</v>
      </c>
      <c r="D220" s="205">
        <v>4</v>
      </c>
      <c r="E220" s="205">
        <v>2.5</v>
      </c>
      <c r="F220" s="205">
        <f t="shared" si="27"/>
        <v>3.25</v>
      </c>
      <c r="G220" s="206">
        <v>2</v>
      </c>
      <c r="H220" s="205">
        <v>3.3000000000000002E-2</v>
      </c>
      <c r="I220" s="205">
        <v>23.6</v>
      </c>
      <c r="J220" s="207">
        <f t="shared" si="28"/>
        <v>0.13983050847457626</v>
      </c>
      <c r="K220" s="205">
        <f t="shared" si="29"/>
        <v>1.006779661016949E-2</v>
      </c>
      <c r="L220" s="205">
        <f t="shared" si="30"/>
        <v>5.4765031603502276E-12</v>
      </c>
      <c r="M220" s="205">
        <f t="shared" si="31"/>
        <v>1838362238.7110326</v>
      </c>
      <c r="N220" s="252">
        <f t="shared" si="32"/>
        <v>1.8383622387110325</v>
      </c>
      <c r="O220" s="207">
        <f t="shared" si="33"/>
        <v>0.13983050847457626</v>
      </c>
      <c r="P220" s="253">
        <f t="shared" si="34"/>
        <v>1.006779661016949E-2</v>
      </c>
      <c r="Q220" s="254">
        <f t="shared" si="35"/>
        <v>1.8383622387110325</v>
      </c>
      <c r="AF220" s="24"/>
      <c r="AG220" s="202"/>
      <c r="AH220" s="191"/>
      <c r="AI220" s="37"/>
      <c r="AJ220" s="203"/>
      <c r="AK220" s="31"/>
      <c r="AL220" s="24"/>
      <c r="AM220" s="202"/>
      <c r="AN220" s="191"/>
      <c r="AO220" s="37"/>
      <c r="AP220" s="37"/>
      <c r="AQ220" s="37"/>
      <c r="AR220" s="24"/>
      <c r="AS220" s="202"/>
      <c r="AT220" s="191"/>
      <c r="AU220" s="24"/>
      <c r="AV220" s="202"/>
      <c r="AW220" s="191"/>
      <c r="AX220" s="24"/>
      <c r="AY220" s="202"/>
      <c r="AZ220" s="191"/>
      <c r="BA220" s="23"/>
      <c r="BB220" s="23"/>
      <c r="BC220" s="23"/>
      <c r="BD220" s="23"/>
      <c r="BE220" s="23"/>
      <c r="BF220" s="23"/>
      <c r="BG220" s="23"/>
      <c r="BH220" s="23"/>
      <c r="BI220" s="23"/>
      <c r="BJ220" s="24"/>
      <c r="BK220" s="202"/>
      <c r="BL220" s="191"/>
      <c r="BM220" s="37"/>
      <c r="BN220" s="203"/>
      <c r="BO220" s="31"/>
      <c r="BP220" s="24"/>
      <c r="BQ220" s="202"/>
      <c r="BR220" s="191"/>
      <c r="BS220" s="37"/>
      <c r="BT220" s="37"/>
      <c r="BU220" s="37"/>
      <c r="BV220" s="24"/>
      <c r="BW220" s="202"/>
      <c r="BX220" s="191"/>
      <c r="BY220" s="24"/>
      <c r="BZ220" s="202"/>
      <c r="CA220" s="191"/>
      <c r="CB220" s="24"/>
      <c r="CC220" s="202"/>
      <c r="CD220" s="191"/>
    </row>
    <row r="221" spans="1:82">
      <c r="A221" s="204">
        <v>54</v>
      </c>
      <c r="B221" s="205">
        <v>38</v>
      </c>
      <c r="C221" s="205">
        <v>60</v>
      </c>
      <c r="D221" s="205">
        <v>4</v>
      </c>
      <c r="E221" s="205">
        <v>2.5</v>
      </c>
      <c r="F221" s="205">
        <f t="shared" si="27"/>
        <v>3.25</v>
      </c>
      <c r="G221" s="206">
        <v>3</v>
      </c>
      <c r="H221" s="205">
        <v>5.8999999999999997E-2</v>
      </c>
      <c r="I221" s="205">
        <v>25.7</v>
      </c>
      <c r="J221" s="207">
        <f t="shared" si="28"/>
        <v>0.22957198443579765</v>
      </c>
      <c r="K221" s="205">
        <f t="shared" si="29"/>
        <v>1.6529182879377432E-2</v>
      </c>
      <c r="L221" s="205">
        <f t="shared" si="30"/>
        <v>5.4765031603502276E-12</v>
      </c>
      <c r="M221" s="205">
        <f t="shared" si="31"/>
        <v>3018200190.049808</v>
      </c>
      <c r="N221" s="252">
        <f t="shared" si="32"/>
        <v>3.0182001900498081</v>
      </c>
      <c r="O221" s="207">
        <f t="shared" si="33"/>
        <v>0.22957198443579765</v>
      </c>
      <c r="P221" s="253">
        <f t="shared" si="34"/>
        <v>1.6529182879377432E-2</v>
      </c>
      <c r="Q221" s="254">
        <f t="shared" si="35"/>
        <v>3.0182001900498081</v>
      </c>
      <c r="AF221" s="24"/>
      <c r="AG221" s="202"/>
      <c r="AH221" s="191"/>
      <c r="AI221" s="37"/>
      <c r="AJ221" s="203"/>
      <c r="AK221" s="31"/>
      <c r="AL221" s="24"/>
      <c r="AM221" s="202"/>
      <c r="AN221" s="191"/>
      <c r="AO221" s="37"/>
      <c r="AP221" s="37"/>
      <c r="AQ221" s="37"/>
      <c r="AR221" s="24"/>
      <c r="AS221" s="202"/>
      <c r="AT221" s="191"/>
      <c r="AU221" s="24"/>
      <c r="AV221" s="202"/>
      <c r="AW221" s="191"/>
      <c r="AX221" s="24"/>
      <c r="AY221" s="202"/>
      <c r="AZ221" s="191"/>
      <c r="BA221" s="23"/>
      <c r="BB221" s="23"/>
      <c r="BC221" s="23"/>
      <c r="BD221" s="23"/>
      <c r="BE221" s="23"/>
      <c r="BF221" s="23"/>
      <c r="BG221" s="23"/>
      <c r="BH221" s="23"/>
      <c r="BI221" s="23"/>
      <c r="BJ221" s="24"/>
      <c r="BK221" s="202"/>
      <c r="BL221" s="191"/>
      <c r="BM221" s="37"/>
      <c r="BN221" s="203"/>
      <c r="BO221" s="31"/>
      <c r="BP221" s="24"/>
      <c r="BQ221" s="202"/>
      <c r="BR221" s="191"/>
      <c r="BS221" s="37"/>
      <c r="BT221" s="37"/>
      <c r="BU221" s="37"/>
      <c r="BV221" s="24"/>
      <c r="BW221" s="202"/>
      <c r="BX221" s="191"/>
      <c r="BY221" s="24"/>
      <c r="BZ221" s="202"/>
      <c r="CA221" s="191"/>
      <c r="CB221" s="24"/>
      <c r="CC221" s="202"/>
      <c r="CD221" s="191"/>
    </row>
    <row r="222" spans="1:82">
      <c r="A222" s="204">
        <v>54</v>
      </c>
      <c r="B222" s="205">
        <v>38</v>
      </c>
      <c r="C222" s="205">
        <v>60</v>
      </c>
      <c r="D222" s="205">
        <v>4</v>
      </c>
      <c r="E222" s="205">
        <v>2.5</v>
      </c>
      <c r="F222" s="205">
        <f t="shared" si="27"/>
        <v>3.25</v>
      </c>
      <c r="G222" s="206">
        <v>4</v>
      </c>
      <c r="H222" s="205">
        <v>4.8000000000000001E-2</v>
      </c>
      <c r="I222" s="205">
        <v>27.8</v>
      </c>
      <c r="J222" s="207">
        <f t="shared" si="28"/>
        <v>0.1726618705035971</v>
      </c>
      <c r="K222" s="205">
        <f t="shared" si="29"/>
        <v>1.2431654676258992E-2</v>
      </c>
      <c r="L222" s="205">
        <f t="shared" si="30"/>
        <v>5.4765031603502276E-12</v>
      </c>
      <c r="M222" s="205">
        <f t="shared" si="31"/>
        <v>2269998630.9263768</v>
      </c>
      <c r="N222" s="252">
        <f t="shared" si="32"/>
        <v>2.2699986309263767</v>
      </c>
      <c r="O222" s="207">
        <f t="shared" si="33"/>
        <v>0.1726618705035971</v>
      </c>
      <c r="P222" s="253">
        <f t="shared" si="34"/>
        <v>1.2431654676258992E-2</v>
      </c>
      <c r="Q222" s="254">
        <f t="shared" si="35"/>
        <v>2.2699986309263767</v>
      </c>
      <c r="AF222" s="24"/>
      <c r="AG222" s="202"/>
      <c r="AH222" s="191"/>
      <c r="AI222" s="37"/>
      <c r="AJ222" s="203"/>
      <c r="AK222" s="31"/>
      <c r="AL222" s="24"/>
      <c r="AM222" s="202"/>
      <c r="AN222" s="191"/>
      <c r="AO222" s="37"/>
      <c r="AP222" s="37"/>
      <c r="AQ222" s="37"/>
      <c r="AR222" s="24"/>
      <c r="AS222" s="202"/>
      <c r="AT222" s="191"/>
      <c r="AU222" s="24"/>
      <c r="AV222" s="202"/>
      <c r="AW222" s="191"/>
      <c r="AX222" s="24"/>
      <c r="AY222" s="202"/>
      <c r="AZ222" s="191"/>
      <c r="BA222" s="23"/>
      <c r="BB222" s="23"/>
      <c r="BC222" s="23"/>
      <c r="BD222" s="23"/>
      <c r="BE222" s="23"/>
      <c r="BF222" s="23"/>
      <c r="BG222" s="23"/>
      <c r="BH222" s="23"/>
      <c r="BI222" s="23"/>
      <c r="BJ222" s="24"/>
      <c r="BK222" s="202"/>
      <c r="BL222" s="191"/>
      <c r="BM222" s="37"/>
      <c r="BN222" s="203"/>
      <c r="BO222" s="31"/>
      <c r="BP222" s="24"/>
      <c r="BQ222" s="202"/>
      <c r="BR222" s="191"/>
      <c r="BS222" s="37"/>
      <c r="BT222" s="37"/>
      <c r="BU222" s="37"/>
      <c r="BV222" s="24"/>
      <c r="BW222" s="202"/>
      <c r="BX222" s="191"/>
      <c r="BY222" s="24"/>
      <c r="BZ222" s="202"/>
      <c r="CA222" s="191"/>
      <c r="CB222" s="24"/>
      <c r="CC222" s="202"/>
      <c r="CD222" s="191"/>
    </row>
    <row r="223" spans="1:82">
      <c r="A223" s="81">
        <v>55</v>
      </c>
      <c r="B223" s="82">
        <v>37</v>
      </c>
      <c r="C223" s="82">
        <v>60</v>
      </c>
      <c r="D223" s="82">
        <v>3.5</v>
      </c>
      <c r="E223" s="82">
        <v>2</v>
      </c>
      <c r="F223" s="82">
        <f t="shared" si="27"/>
        <v>2.75</v>
      </c>
      <c r="G223" s="200">
        <v>1</v>
      </c>
      <c r="H223" s="82">
        <v>8.1000000000000003E-2</v>
      </c>
      <c r="I223" s="82">
        <v>24.4</v>
      </c>
      <c r="J223" s="179">
        <f t="shared" si="28"/>
        <v>0.33196721311475413</v>
      </c>
      <c r="K223" s="82">
        <f t="shared" si="29"/>
        <v>2.3901639344262298E-2</v>
      </c>
      <c r="L223" s="3">
        <f t="shared" si="30"/>
        <v>2.8073765894292083E-12</v>
      </c>
      <c r="M223" s="3">
        <f t="shared" si="31"/>
        <v>8513870007.4156933</v>
      </c>
      <c r="N223" s="29">
        <f t="shared" si="32"/>
        <v>8.5138700074156937</v>
      </c>
      <c r="O223" s="30">
        <f t="shared" si="33"/>
        <v>0.33196721311475413</v>
      </c>
      <c r="P223" s="175">
        <f t="shared" si="34"/>
        <v>2.3901639344262298E-2</v>
      </c>
      <c r="Q223" s="26">
        <f t="shared" si="35"/>
        <v>8.5138700074156937</v>
      </c>
      <c r="AF223" s="24"/>
      <c r="AG223" s="202"/>
      <c r="AH223" s="191"/>
      <c r="AI223" s="37"/>
      <c r="AJ223" s="203"/>
      <c r="AK223" s="31"/>
      <c r="AL223" s="24"/>
      <c r="AM223" s="202"/>
      <c r="AN223" s="191"/>
      <c r="AO223" s="37"/>
      <c r="AP223" s="37"/>
      <c r="AQ223" s="37"/>
      <c r="AR223" s="24"/>
      <c r="AS223" s="202"/>
      <c r="AT223" s="191"/>
      <c r="AU223" s="24"/>
      <c r="AV223" s="202"/>
      <c r="AW223" s="191"/>
      <c r="AX223" s="24"/>
      <c r="AY223" s="202"/>
      <c r="AZ223" s="191"/>
      <c r="BA223" s="23"/>
      <c r="BB223" s="23"/>
      <c r="BC223" s="23"/>
      <c r="BD223" s="23"/>
      <c r="BE223" s="23"/>
      <c r="BF223" s="23"/>
      <c r="BG223" s="23"/>
      <c r="BH223" s="23"/>
      <c r="BI223" s="23"/>
      <c r="BJ223" s="24"/>
      <c r="BK223" s="202"/>
      <c r="BL223" s="191"/>
      <c r="BM223" s="37"/>
      <c r="BN223" s="203"/>
      <c r="BO223" s="31"/>
      <c r="BP223" s="24"/>
      <c r="BQ223" s="202"/>
      <c r="BR223" s="191"/>
      <c r="BS223" s="37"/>
      <c r="BT223" s="37"/>
      <c r="BU223" s="37"/>
      <c r="BV223" s="24"/>
      <c r="BW223" s="202"/>
      <c r="BX223" s="191"/>
      <c r="BY223" s="24"/>
      <c r="BZ223" s="202"/>
      <c r="CA223" s="191"/>
      <c r="CB223" s="24"/>
      <c r="CC223" s="202"/>
      <c r="CD223" s="191"/>
    </row>
    <row r="224" spans="1:82">
      <c r="A224" s="81">
        <v>55</v>
      </c>
      <c r="B224" s="82">
        <v>37</v>
      </c>
      <c r="C224" s="82">
        <v>60</v>
      </c>
      <c r="D224" s="82">
        <v>3.5</v>
      </c>
      <c r="E224" s="82">
        <v>2</v>
      </c>
      <c r="F224" s="82">
        <f t="shared" si="27"/>
        <v>2.75</v>
      </c>
      <c r="G224" s="200">
        <v>2</v>
      </c>
      <c r="H224" s="82">
        <v>8.6999999999999994E-2</v>
      </c>
      <c r="I224" s="82">
        <v>25.5</v>
      </c>
      <c r="J224" s="179">
        <f t="shared" si="28"/>
        <v>0.34117647058823525</v>
      </c>
      <c r="K224" s="82">
        <f t="shared" si="29"/>
        <v>2.4564705882352936E-2</v>
      </c>
      <c r="L224" s="3">
        <f t="shared" si="30"/>
        <v>2.8073765894292083E-12</v>
      </c>
      <c r="M224" s="3">
        <f t="shared" si="31"/>
        <v>8750057250.9039116</v>
      </c>
      <c r="N224" s="29">
        <f t="shared" si="32"/>
        <v>8.750057250903911</v>
      </c>
      <c r="O224" s="30">
        <f t="shared" si="33"/>
        <v>0.34117647058823525</v>
      </c>
      <c r="P224" s="175">
        <f t="shared" si="34"/>
        <v>2.4564705882352936E-2</v>
      </c>
      <c r="Q224" s="26">
        <f t="shared" si="35"/>
        <v>8.750057250903911</v>
      </c>
      <c r="AF224" s="24"/>
      <c r="AG224" s="202"/>
      <c r="AH224" s="191"/>
      <c r="AI224" s="37"/>
      <c r="AJ224" s="203"/>
      <c r="AK224" s="31"/>
      <c r="AL224" s="24"/>
      <c r="AM224" s="202"/>
      <c r="AN224" s="191"/>
      <c r="AO224" s="37"/>
      <c r="AP224" s="37"/>
      <c r="AQ224" s="37"/>
      <c r="AR224" s="24"/>
      <c r="AS224" s="202"/>
      <c r="AT224" s="191"/>
      <c r="AU224" s="24"/>
      <c r="AV224" s="202"/>
      <c r="AW224" s="191"/>
      <c r="AX224" s="24"/>
      <c r="AY224" s="202"/>
      <c r="AZ224" s="191"/>
      <c r="BA224" s="23"/>
      <c r="BB224" s="23"/>
      <c r="BC224" s="23"/>
      <c r="BD224" s="23"/>
      <c r="BE224" s="23"/>
      <c r="BF224" s="23"/>
      <c r="BG224" s="23"/>
      <c r="BH224" s="23"/>
      <c r="BI224" s="23"/>
      <c r="BJ224" s="24"/>
      <c r="BK224" s="202"/>
      <c r="BL224" s="191"/>
      <c r="BM224" s="37"/>
      <c r="BN224" s="203"/>
      <c r="BO224" s="31"/>
      <c r="BP224" s="24"/>
      <c r="BQ224" s="202"/>
      <c r="BR224" s="191"/>
      <c r="BS224" s="37"/>
      <c r="BT224" s="37"/>
      <c r="BU224" s="37"/>
      <c r="BV224" s="24"/>
      <c r="BW224" s="202"/>
      <c r="BX224" s="191"/>
      <c r="BY224" s="24"/>
      <c r="BZ224" s="202"/>
      <c r="CA224" s="191"/>
      <c r="CB224" s="24"/>
      <c r="CC224" s="202"/>
      <c r="CD224" s="191"/>
    </row>
    <row r="225" spans="1:82">
      <c r="A225" s="81">
        <v>55</v>
      </c>
      <c r="B225" s="82">
        <v>37</v>
      </c>
      <c r="C225" s="82">
        <v>60</v>
      </c>
      <c r="D225" s="82">
        <v>3.5</v>
      </c>
      <c r="E225" s="82">
        <v>2</v>
      </c>
      <c r="F225" s="82">
        <f t="shared" si="27"/>
        <v>2.75</v>
      </c>
      <c r="G225" s="200">
        <v>3</v>
      </c>
      <c r="H225" s="82">
        <v>5.7000000000000002E-2</v>
      </c>
      <c r="I225" s="82">
        <v>24.4</v>
      </c>
      <c r="J225" s="179">
        <f t="shared" si="28"/>
        <v>0.23360655737704919</v>
      </c>
      <c r="K225" s="82">
        <f t="shared" si="29"/>
        <v>1.6819672131147542E-2</v>
      </c>
      <c r="L225" s="3">
        <f t="shared" si="30"/>
        <v>2.8073765894292083E-12</v>
      </c>
      <c r="M225" s="3">
        <f t="shared" si="31"/>
        <v>5991241857.070302</v>
      </c>
      <c r="N225" s="29">
        <f t="shared" si="32"/>
        <v>5.9912418570703023</v>
      </c>
      <c r="O225" s="30">
        <f t="shared" si="33"/>
        <v>0.23360655737704919</v>
      </c>
      <c r="P225" s="175">
        <f t="shared" si="34"/>
        <v>1.6819672131147542E-2</v>
      </c>
      <c r="Q225" s="26">
        <f t="shared" si="35"/>
        <v>5.9912418570703023</v>
      </c>
      <c r="AF225" s="24"/>
      <c r="AG225" s="202"/>
      <c r="AH225" s="191"/>
      <c r="AI225" s="37"/>
      <c r="AJ225" s="203"/>
      <c r="AK225" s="31"/>
      <c r="AL225" s="24"/>
      <c r="AM225" s="202"/>
      <c r="AN225" s="191"/>
      <c r="AO225" s="37"/>
      <c r="AP225" s="37"/>
      <c r="AQ225" s="37"/>
      <c r="AR225" s="24"/>
      <c r="AS225" s="202"/>
      <c r="AT225" s="191"/>
      <c r="AU225" s="24"/>
      <c r="AV225" s="202"/>
      <c r="AW225" s="191"/>
      <c r="AX225" s="24"/>
      <c r="AY225" s="202"/>
      <c r="AZ225" s="191"/>
      <c r="BA225" s="23"/>
      <c r="BB225" s="23"/>
      <c r="BC225" s="23"/>
      <c r="BD225" s="23"/>
      <c r="BE225" s="23"/>
      <c r="BF225" s="23"/>
      <c r="BG225" s="23"/>
      <c r="BH225" s="23"/>
      <c r="BI225" s="23"/>
      <c r="BJ225" s="24"/>
      <c r="BK225" s="202"/>
      <c r="BL225" s="191"/>
      <c r="BM225" s="37"/>
      <c r="BN225" s="203"/>
      <c r="BO225" s="31"/>
      <c r="BP225" s="24"/>
      <c r="BQ225" s="202"/>
      <c r="BR225" s="191"/>
      <c r="BS225" s="37"/>
      <c r="BT225" s="37"/>
      <c r="BU225" s="37"/>
      <c r="BV225" s="24"/>
      <c r="BW225" s="202"/>
      <c r="BX225" s="191"/>
      <c r="BY225" s="24"/>
      <c r="BZ225" s="202"/>
      <c r="CA225" s="191"/>
      <c r="CB225" s="24"/>
      <c r="CC225" s="202"/>
      <c r="CD225" s="191"/>
    </row>
    <row r="226" spans="1:82">
      <c r="A226" s="81">
        <v>55</v>
      </c>
      <c r="B226" s="82">
        <v>37</v>
      </c>
      <c r="C226" s="82">
        <v>60</v>
      </c>
      <c r="D226" s="82">
        <v>3.5</v>
      </c>
      <c r="E226" s="82">
        <v>2</v>
      </c>
      <c r="F226" s="82">
        <f t="shared" si="27"/>
        <v>2.75</v>
      </c>
      <c r="G226" s="200">
        <v>4</v>
      </c>
      <c r="H226" s="82">
        <v>5.8999999999999997E-2</v>
      </c>
      <c r="I226" s="82">
        <v>25.4</v>
      </c>
      <c r="J226" s="179">
        <f t="shared" si="28"/>
        <v>0.23228346456692911</v>
      </c>
      <c r="K226" s="82">
        <f t="shared" si="29"/>
        <v>1.6724409448818898E-2</v>
      </c>
      <c r="L226" s="3">
        <f t="shared" si="30"/>
        <v>2.8073765894292083E-12</v>
      </c>
      <c r="M226" s="3">
        <f t="shared" si="31"/>
        <v>5957308866.858963</v>
      </c>
      <c r="N226" s="29">
        <f t="shared" si="32"/>
        <v>5.9573088668589627</v>
      </c>
      <c r="O226" s="30">
        <f t="shared" si="33"/>
        <v>0.23228346456692911</v>
      </c>
      <c r="P226" s="175">
        <f t="shared" si="34"/>
        <v>1.6724409448818898E-2</v>
      </c>
      <c r="Q226" s="26">
        <f t="shared" si="35"/>
        <v>5.9573088668589627</v>
      </c>
      <c r="AF226" s="24"/>
      <c r="AG226" s="202"/>
      <c r="AH226" s="191"/>
      <c r="AI226" s="37"/>
      <c r="AJ226" s="203"/>
      <c r="AK226" s="31"/>
      <c r="AL226" s="24"/>
      <c r="AM226" s="202"/>
      <c r="AN226" s="191"/>
      <c r="AO226" s="37"/>
      <c r="AP226" s="37"/>
      <c r="AQ226" s="37"/>
      <c r="AR226" s="24"/>
      <c r="AS226" s="202"/>
      <c r="AT226" s="191"/>
      <c r="AU226" s="24"/>
      <c r="AV226" s="202"/>
      <c r="AW226" s="191"/>
      <c r="AX226" s="24"/>
      <c r="AY226" s="202"/>
      <c r="AZ226" s="191"/>
      <c r="BA226" s="23"/>
      <c r="BB226" s="23"/>
      <c r="BC226" s="23"/>
      <c r="BD226" s="23"/>
      <c r="BE226" s="23"/>
      <c r="BF226" s="23"/>
      <c r="BG226" s="23"/>
      <c r="BH226" s="23"/>
      <c r="BI226" s="23"/>
      <c r="BJ226" s="24"/>
      <c r="BK226" s="202"/>
      <c r="BL226" s="191"/>
      <c r="BM226" s="37"/>
      <c r="BN226" s="203"/>
      <c r="BO226" s="31"/>
      <c r="BP226" s="24"/>
      <c r="BQ226" s="202"/>
      <c r="BR226" s="191"/>
      <c r="BS226" s="37"/>
      <c r="BT226" s="37"/>
      <c r="BU226" s="37"/>
      <c r="BV226" s="24"/>
      <c r="BW226" s="202"/>
      <c r="BX226" s="191"/>
      <c r="BY226" s="24"/>
      <c r="BZ226" s="202"/>
      <c r="CA226" s="191"/>
      <c r="CB226" s="24"/>
      <c r="CC226" s="202"/>
      <c r="CD226" s="191"/>
    </row>
    <row r="227" spans="1:82">
      <c r="A227" s="204">
        <v>56</v>
      </c>
      <c r="B227" s="205">
        <v>26</v>
      </c>
      <c r="C227" s="205">
        <v>46</v>
      </c>
      <c r="D227" s="205">
        <v>3</v>
      </c>
      <c r="E227" s="205">
        <v>2</v>
      </c>
      <c r="F227" s="205">
        <f t="shared" si="27"/>
        <v>2.5</v>
      </c>
      <c r="G227" s="206">
        <v>1</v>
      </c>
      <c r="H227" s="205">
        <v>5.0999999999999997E-2</v>
      </c>
      <c r="I227" s="205">
        <v>21.4</v>
      </c>
      <c r="J227" s="207">
        <f t="shared" si="28"/>
        <v>0.23831775700934579</v>
      </c>
      <c r="K227" s="205">
        <f t="shared" si="29"/>
        <v>7.732299065420562E-3</v>
      </c>
      <c r="L227" s="205">
        <f t="shared" si="30"/>
        <v>1.9174759848570514E-12</v>
      </c>
      <c r="M227" s="205">
        <f t="shared" si="31"/>
        <v>4032540238.5662775</v>
      </c>
      <c r="N227" s="252">
        <f t="shared" si="32"/>
        <v>4.0325402385662779</v>
      </c>
      <c r="O227" s="207">
        <f t="shared" si="33"/>
        <v>0.23831775700934579</v>
      </c>
      <c r="P227" s="253">
        <f t="shared" si="34"/>
        <v>7.732299065420562E-3</v>
      </c>
      <c r="Q227" s="254">
        <f t="shared" si="35"/>
        <v>4.0325402385662779</v>
      </c>
      <c r="AF227" s="24"/>
      <c r="AG227" s="202"/>
      <c r="AH227" s="191"/>
      <c r="AI227" s="37"/>
      <c r="AJ227" s="203"/>
      <c r="AK227" s="31"/>
      <c r="AL227" s="24"/>
      <c r="AM227" s="202"/>
      <c r="AN227" s="191"/>
      <c r="AO227" s="37"/>
      <c r="AP227" s="37"/>
      <c r="AQ227" s="37"/>
      <c r="AR227" s="24"/>
      <c r="AS227" s="202"/>
      <c r="AT227" s="191"/>
      <c r="AU227" s="24"/>
      <c r="AV227" s="202"/>
      <c r="AW227" s="191"/>
      <c r="AX227" s="24"/>
      <c r="AY227" s="202"/>
      <c r="AZ227" s="191"/>
      <c r="BA227" s="23"/>
      <c r="BB227" s="23"/>
      <c r="BC227" s="23"/>
      <c r="BD227" s="23"/>
      <c r="BE227" s="23"/>
      <c r="BF227" s="23"/>
      <c r="BG227" s="23"/>
      <c r="BH227" s="23"/>
      <c r="BI227" s="23"/>
      <c r="BJ227" s="24"/>
      <c r="BK227" s="202"/>
      <c r="BL227" s="191"/>
      <c r="BM227" s="37"/>
      <c r="BN227" s="203"/>
      <c r="BO227" s="31"/>
      <c r="BP227" s="24"/>
      <c r="BQ227" s="202"/>
      <c r="BR227" s="191"/>
      <c r="BS227" s="37"/>
      <c r="BT227" s="37"/>
      <c r="BU227" s="37"/>
      <c r="BV227" s="24"/>
      <c r="BW227" s="202"/>
      <c r="BX227" s="191"/>
      <c r="BY227" s="24"/>
      <c r="BZ227" s="202"/>
      <c r="CA227" s="191"/>
      <c r="CB227" s="24"/>
      <c r="CC227" s="202"/>
      <c r="CD227" s="191"/>
    </row>
    <row r="228" spans="1:82">
      <c r="A228" s="204">
        <v>56</v>
      </c>
      <c r="B228" s="205">
        <v>26</v>
      </c>
      <c r="C228" s="205">
        <v>46</v>
      </c>
      <c r="D228" s="205">
        <v>3</v>
      </c>
      <c r="E228" s="205">
        <v>2</v>
      </c>
      <c r="F228" s="205">
        <f t="shared" si="27"/>
        <v>2.5</v>
      </c>
      <c r="G228" s="206">
        <v>2</v>
      </c>
      <c r="H228" s="205">
        <v>5.8000000000000003E-2</v>
      </c>
      <c r="I228" s="205">
        <v>21.6</v>
      </c>
      <c r="J228" s="207">
        <f t="shared" si="28"/>
        <v>0.26851851851851849</v>
      </c>
      <c r="K228" s="205">
        <f t="shared" si="29"/>
        <v>8.7121728395061718E-3</v>
      </c>
      <c r="L228" s="205">
        <f t="shared" si="30"/>
        <v>1.9174759848570514E-12</v>
      </c>
      <c r="M228" s="205">
        <f t="shared" si="31"/>
        <v>4543562948.5370932</v>
      </c>
      <c r="N228" s="252">
        <f t="shared" si="32"/>
        <v>4.543562948537093</v>
      </c>
      <c r="O228" s="207">
        <f t="shared" si="33"/>
        <v>0.26851851851851849</v>
      </c>
      <c r="P228" s="253">
        <f t="shared" si="34"/>
        <v>8.7121728395061718E-3</v>
      </c>
      <c r="Q228" s="254">
        <f t="shared" si="35"/>
        <v>4.543562948537093</v>
      </c>
      <c r="AF228" s="24"/>
      <c r="AG228" s="202"/>
      <c r="AH228" s="191"/>
      <c r="AI228" s="37"/>
      <c r="AJ228" s="203"/>
      <c r="AK228" s="31"/>
      <c r="AL228" s="24"/>
      <c r="AM228" s="202"/>
      <c r="AN228" s="191"/>
      <c r="AO228" s="37"/>
      <c r="AP228" s="37"/>
      <c r="AQ228" s="37"/>
      <c r="AR228" s="24"/>
      <c r="AS228" s="202"/>
      <c r="AT228" s="191"/>
      <c r="AU228" s="24"/>
      <c r="AV228" s="202"/>
      <c r="AW228" s="191"/>
      <c r="AX228" s="24"/>
      <c r="AY228" s="202"/>
      <c r="AZ228" s="191"/>
      <c r="BA228" s="23"/>
      <c r="BB228" s="23"/>
      <c r="BC228" s="23"/>
      <c r="BD228" s="23"/>
      <c r="BE228" s="23"/>
      <c r="BF228" s="23"/>
      <c r="BG228" s="23"/>
      <c r="BH228" s="23"/>
      <c r="BI228" s="23"/>
      <c r="BJ228" s="24"/>
      <c r="BK228" s="202"/>
      <c r="BL228" s="191"/>
      <c r="BM228" s="37"/>
      <c r="BN228" s="203"/>
      <c r="BO228" s="31"/>
      <c r="BP228" s="24"/>
      <c r="BQ228" s="202"/>
      <c r="BR228" s="191"/>
      <c r="BS228" s="37"/>
      <c r="BT228" s="37"/>
      <c r="BU228" s="37"/>
      <c r="BV228" s="24"/>
      <c r="BW228" s="202"/>
      <c r="BX228" s="191"/>
      <c r="BY228" s="24"/>
      <c r="BZ228" s="202"/>
      <c r="CA228" s="191"/>
      <c r="CB228" s="24"/>
      <c r="CC228" s="202"/>
      <c r="CD228" s="191"/>
    </row>
    <row r="229" spans="1:82">
      <c r="A229" s="204">
        <v>56</v>
      </c>
      <c r="B229" s="205">
        <v>26</v>
      </c>
      <c r="C229" s="205">
        <v>46</v>
      </c>
      <c r="D229" s="205">
        <v>3</v>
      </c>
      <c r="E229" s="205">
        <v>2</v>
      </c>
      <c r="F229" s="205">
        <f t="shared" si="27"/>
        <v>2.5</v>
      </c>
      <c r="G229" s="206">
        <v>3</v>
      </c>
      <c r="H229" s="205">
        <v>5.8000000000000003E-2</v>
      </c>
      <c r="I229" s="205">
        <v>20</v>
      </c>
      <c r="J229" s="207">
        <f t="shared" si="28"/>
        <v>0.28999999999999998</v>
      </c>
      <c r="K229" s="205">
        <f t="shared" si="29"/>
        <v>9.4091466666666665E-3</v>
      </c>
      <c r="L229" s="205">
        <f t="shared" si="30"/>
        <v>1.9174759848570514E-12</v>
      </c>
      <c r="M229" s="205">
        <f t="shared" si="31"/>
        <v>4907047984.4200611</v>
      </c>
      <c r="N229" s="252">
        <f t="shared" si="32"/>
        <v>4.9070479844200614</v>
      </c>
      <c r="O229" s="207">
        <f t="shared" si="33"/>
        <v>0.28999999999999998</v>
      </c>
      <c r="P229" s="253">
        <f t="shared" si="34"/>
        <v>9.4091466666666665E-3</v>
      </c>
      <c r="Q229" s="254">
        <f t="shared" si="35"/>
        <v>4.9070479844200614</v>
      </c>
      <c r="AF229" s="24"/>
      <c r="AG229" s="202"/>
      <c r="AH229" s="191"/>
      <c r="AI229" s="37"/>
      <c r="AJ229" s="203"/>
      <c r="AK229" s="31"/>
      <c r="AL229" s="24"/>
      <c r="AM229" s="202"/>
      <c r="AN229" s="191"/>
      <c r="AO229" s="37"/>
      <c r="AP229" s="37"/>
      <c r="AQ229" s="37"/>
      <c r="AR229" s="24"/>
      <c r="AS229" s="202"/>
      <c r="AT229" s="191"/>
      <c r="AU229" s="24"/>
      <c r="AV229" s="202"/>
      <c r="AW229" s="191"/>
      <c r="AX229" s="24"/>
      <c r="AY229" s="202"/>
      <c r="AZ229" s="191"/>
      <c r="BA229" s="23"/>
      <c r="BB229" s="23"/>
      <c r="BC229" s="23"/>
      <c r="BD229" s="23"/>
      <c r="BE229" s="23"/>
      <c r="BF229" s="23"/>
      <c r="BG229" s="23"/>
      <c r="BH229" s="23"/>
      <c r="BI229" s="23"/>
      <c r="BJ229" s="24"/>
      <c r="BK229" s="202"/>
      <c r="BL229" s="191"/>
      <c r="BM229" s="37"/>
      <c r="BN229" s="203"/>
      <c r="BO229" s="31"/>
      <c r="BP229" s="24"/>
      <c r="BQ229" s="202"/>
      <c r="BR229" s="191"/>
      <c r="BS229" s="37"/>
      <c r="BT229" s="37"/>
      <c r="BU229" s="37"/>
      <c r="BV229" s="24"/>
      <c r="BW229" s="202"/>
      <c r="BX229" s="191"/>
      <c r="BY229" s="24"/>
      <c r="BZ229" s="202"/>
      <c r="CA229" s="191"/>
      <c r="CB229" s="24"/>
      <c r="CC229" s="202"/>
      <c r="CD229" s="191"/>
    </row>
    <row r="230" spans="1:82">
      <c r="A230" s="204">
        <v>56</v>
      </c>
      <c r="B230" s="205">
        <v>26</v>
      </c>
      <c r="C230" s="205">
        <v>46</v>
      </c>
      <c r="D230" s="205">
        <v>3</v>
      </c>
      <c r="E230" s="205">
        <v>2</v>
      </c>
      <c r="F230" s="205">
        <f t="shared" si="27"/>
        <v>2.5</v>
      </c>
      <c r="G230" s="206">
        <v>4</v>
      </c>
      <c r="H230" s="205">
        <v>5.5E-2</v>
      </c>
      <c r="I230" s="205">
        <v>20.8</v>
      </c>
      <c r="J230" s="207">
        <f t="shared" si="28"/>
        <v>0.26442307692307693</v>
      </c>
      <c r="K230" s="205">
        <f t="shared" si="29"/>
        <v>8.5792948717948719E-3</v>
      </c>
      <c r="L230" s="205">
        <f t="shared" si="30"/>
        <v>1.9174759848570514E-12</v>
      </c>
      <c r="M230" s="205">
        <f t="shared" si="31"/>
        <v>4474264574.6535711</v>
      </c>
      <c r="N230" s="252">
        <f t="shared" si="32"/>
        <v>4.4742645746535707</v>
      </c>
      <c r="O230" s="207">
        <f t="shared" si="33"/>
        <v>0.26442307692307693</v>
      </c>
      <c r="P230" s="253">
        <f t="shared" si="34"/>
        <v>8.5792948717948719E-3</v>
      </c>
      <c r="Q230" s="254">
        <f t="shared" si="35"/>
        <v>4.4742645746535707</v>
      </c>
      <c r="AF230" s="24"/>
      <c r="AG230" s="202"/>
      <c r="AH230" s="191"/>
      <c r="AI230" s="37"/>
      <c r="AJ230" s="203"/>
      <c r="AK230" s="31"/>
      <c r="AL230" s="24"/>
      <c r="AM230" s="202"/>
      <c r="AN230" s="191"/>
      <c r="AO230" s="37"/>
      <c r="AP230" s="37"/>
      <c r="AQ230" s="37"/>
      <c r="AR230" s="24"/>
      <c r="AS230" s="202"/>
      <c r="AT230" s="191"/>
      <c r="AU230" s="24"/>
      <c r="AV230" s="202"/>
      <c r="AW230" s="191"/>
      <c r="AX230" s="24"/>
      <c r="AY230" s="202"/>
      <c r="AZ230" s="191"/>
      <c r="BA230" s="23"/>
      <c r="BB230" s="23"/>
      <c r="BC230" s="23"/>
      <c r="BD230" s="23"/>
      <c r="BE230" s="23"/>
      <c r="BF230" s="23"/>
      <c r="BG230" s="23"/>
      <c r="BH230" s="23"/>
      <c r="BI230" s="23"/>
      <c r="BJ230" s="24"/>
      <c r="BK230" s="202"/>
      <c r="BL230" s="191"/>
      <c r="BM230" s="37"/>
      <c r="BN230" s="203"/>
      <c r="BO230" s="31"/>
      <c r="BP230" s="24"/>
      <c r="BQ230" s="202"/>
      <c r="BR230" s="191"/>
      <c r="BS230" s="37"/>
      <c r="BT230" s="37"/>
      <c r="BU230" s="37"/>
      <c r="BV230" s="24"/>
      <c r="BW230" s="202"/>
      <c r="BX230" s="191"/>
      <c r="BY230" s="24"/>
      <c r="BZ230" s="202"/>
      <c r="CA230" s="191"/>
      <c r="CB230" s="24"/>
      <c r="CC230" s="202"/>
      <c r="CD230" s="191"/>
    </row>
    <row r="231" spans="1:82">
      <c r="A231" s="81">
        <v>57</v>
      </c>
      <c r="B231" s="82">
        <v>39</v>
      </c>
      <c r="C231" s="82">
        <v>47</v>
      </c>
      <c r="D231" s="82">
        <v>3</v>
      </c>
      <c r="E231" s="82">
        <v>2.5</v>
      </c>
      <c r="F231" s="82">
        <f t="shared" si="27"/>
        <v>2.75</v>
      </c>
      <c r="G231" s="200">
        <v>1</v>
      </c>
      <c r="H231" s="82">
        <v>0.06</v>
      </c>
      <c r="I231" s="82">
        <v>20.7</v>
      </c>
      <c r="J231" s="179">
        <f t="shared" si="28"/>
        <v>0.28985507246376813</v>
      </c>
      <c r="K231" s="82">
        <f t="shared" si="29"/>
        <v>1.0031207729468602E-2</v>
      </c>
      <c r="L231" s="3">
        <f t="shared" si="30"/>
        <v>2.8073765894292083E-12</v>
      </c>
      <c r="M231" s="3">
        <f t="shared" si="31"/>
        <v>3573160710.6932998</v>
      </c>
      <c r="N231" s="29">
        <f t="shared" si="32"/>
        <v>3.5731607106932999</v>
      </c>
      <c r="O231" s="30">
        <f t="shared" si="33"/>
        <v>0.28985507246376813</v>
      </c>
      <c r="P231" s="175">
        <f t="shared" si="34"/>
        <v>1.0031207729468602E-2</v>
      </c>
      <c r="Q231" s="26">
        <f t="shared" si="35"/>
        <v>3.5731607106932999</v>
      </c>
      <c r="AF231" s="24"/>
      <c r="AG231" s="202"/>
      <c r="AH231" s="191"/>
      <c r="AI231" s="37"/>
      <c r="AJ231" s="203"/>
      <c r="AK231" s="31"/>
      <c r="AL231" s="24"/>
      <c r="AM231" s="202"/>
      <c r="AN231" s="191"/>
      <c r="AO231" s="37"/>
      <c r="AP231" s="37"/>
      <c r="AQ231" s="37"/>
      <c r="AR231" s="24"/>
      <c r="AS231" s="202"/>
      <c r="AT231" s="191"/>
      <c r="AU231" s="24"/>
      <c r="AV231" s="202"/>
      <c r="AW231" s="191"/>
      <c r="AX231" s="24"/>
      <c r="AY231" s="202"/>
      <c r="AZ231" s="191"/>
      <c r="BA231" s="23"/>
      <c r="BB231" s="23"/>
      <c r="BC231" s="23"/>
      <c r="BD231" s="23"/>
      <c r="BE231" s="23"/>
      <c r="BF231" s="23"/>
      <c r="BG231" s="23"/>
      <c r="BH231" s="23"/>
      <c r="BI231" s="23"/>
      <c r="BJ231" s="24"/>
      <c r="BK231" s="202"/>
      <c r="BL231" s="191"/>
      <c r="BM231" s="37"/>
      <c r="BN231" s="203"/>
      <c r="BO231" s="31"/>
      <c r="BP231" s="24"/>
      <c r="BQ231" s="202"/>
      <c r="BR231" s="191"/>
      <c r="BS231" s="37"/>
      <c r="BT231" s="37"/>
      <c r="BU231" s="37"/>
      <c r="BV231" s="24"/>
      <c r="BW231" s="202"/>
      <c r="BX231" s="191"/>
      <c r="BY231" s="24"/>
      <c r="BZ231" s="202"/>
      <c r="CA231" s="191"/>
      <c r="CB231" s="24"/>
      <c r="CC231" s="202"/>
      <c r="CD231" s="191"/>
    </row>
    <row r="232" spans="1:82">
      <c r="A232" s="81">
        <v>57</v>
      </c>
      <c r="B232" s="82">
        <v>39</v>
      </c>
      <c r="C232" s="82">
        <v>47</v>
      </c>
      <c r="D232" s="82">
        <v>3</v>
      </c>
      <c r="E232" s="82">
        <v>2.5</v>
      </c>
      <c r="F232" s="82">
        <f t="shared" si="27"/>
        <v>2.75</v>
      </c>
      <c r="G232" s="200">
        <v>2</v>
      </c>
      <c r="H232" s="82">
        <v>0.18099999999999999</v>
      </c>
      <c r="I232" s="82">
        <v>21.6</v>
      </c>
      <c r="J232" s="179">
        <f t="shared" si="28"/>
        <v>0.8379629629629628</v>
      </c>
      <c r="K232" s="82">
        <f t="shared" si="29"/>
        <v>2.899994290123457E-2</v>
      </c>
      <c r="L232" s="3">
        <f t="shared" si="30"/>
        <v>2.8073765894292083E-12</v>
      </c>
      <c r="M232" s="3">
        <f t="shared" si="31"/>
        <v>10329908360.150141</v>
      </c>
      <c r="N232" s="29">
        <f t="shared" si="32"/>
        <v>10.32990836015014</v>
      </c>
      <c r="O232" s="30">
        <f t="shared" si="33"/>
        <v>0.8379629629629628</v>
      </c>
      <c r="P232" s="175">
        <f t="shared" si="34"/>
        <v>2.899994290123457E-2</v>
      </c>
      <c r="Q232" s="26">
        <f t="shared" si="35"/>
        <v>10.32990836015014</v>
      </c>
      <c r="AF232" s="24"/>
      <c r="AG232" s="202"/>
      <c r="AH232" s="191"/>
      <c r="AI232" s="37"/>
      <c r="AJ232" s="203"/>
      <c r="AK232" s="31"/>
      <c r="AL232" s="24"/>
      <c r="AM232" s="202"/>
      <c r="AN232" s="191"/>
      <c r="AO232" s="37"/>
      <c r="AP232" s="37"/>
      <c r="AQ232" s="37"/>
      <c r="AR232" s="24"/>
      <c r="AS232" s="202"/>
      <c r="AT232" s="191"/>
      <c r="AU232" s="24"/>
      <c r="AV232" s="202"/>
      <c r="AW232" s="191"/>
      <c r="AX232" s="24"/>
      <c r="AY232" s="202"/>
      <c r="AZ232" s="191"/>
      <c r="BA232" s="23"/>
      <c r="BB232" s="23"/>
      <c r="BC232" s="23"/>
      <c r="BD232" s="23"/>
      <c r="BE232" s="23"/>
      <c r="BF232" s="23"/>
      <c r="BG232" s="23"/>
      <c r="BH232" s="23"/>
      <c r="BI232" s="23"/>
      <c r="BJ232" s="24"/>
      <c r="BK232" s="202"/>
      <c r="BL232" s="191"/>
      <c r="BM232" s="37"/>
      <c r="BN232" s="203"/>
      <c r="BO232" s="31"/>
      <c r="BP232" s="24"/>
      <c r="BQ232" s="202"/>
      <c r="BR232" s="191"/>
      <c r="BS232" s="37"/>
      <c r="BT232" s="37"/>
      <c r="BU232" s="37"/>
      <c r="BV232" s="24"/>
      <c r="BW232" s="202"/>
      <c r="BX232" s="191"/>
      <c r="BY232" s="24"/>
      <c r="BZ232" s="202"/>
      <c r="CA232" s="191"/>
      <c r="CB232" s="24"/>
      <c r="CC232" s="202"/>
      <c r="CD232" s="191"/>
    </row>
    <row r="233" spans="1:82">
      <c r="A233" s="81">
        <v>57</v>
      </c>
      <c r="B233" s="82">
        <v>39</v>
      </c>
      <c r="C233" s="82">
        <v>47</v>
      </c>
      <c r="D233" s="82">
        <v>3</v>
      </c>
      <c r="E233" s="82">
        <v>2.5</v>
      </c>
      <c r="F233" s="82">
        <f t="shared" si="27"/>
        <v>2.75</v>
      </c>
      <c r="G233" s="200">
        <v>3</v>
      </c>
      <c r="H233" s="82">
        <v>0.161</v>
      </c>
      <c r="I233" s="82">
        <v>21.1</v>
      </c>
      <c r="J233" s="179">
        <f t="shared" si="28"/>
        <v>0.76303317535545023</v>
      </c>
      <c r="K233" s="82">
        <f t="shared" si="29"/>
        <v>2.6406797788309646E-2</v>
      </c>
      <c r="L233" s="3">
        <f t="shared" si="30"/>
        <v>2.8073765894292083E-12</v>
      </c>
      <c r="M233" s="3">
        <f t="shared" si="31"/>
        <v>9406218562.8179779</v>
      </c>
      <c r="N233" s="29">
        <f t="shared" si="32"/>
        <v>9.406218562817978</v>
      </c>
      <c r="O233" s="30">
        <f t="shared" si="33"/>
        <v>0.76303317535545023</v>
      </c>
      <c r="P233" s="175">
        <f t="shared" si="34"/>
        <v>2.6406797788309646E-2</v>
      </c>
      <c r="Q233" s="26">
        <f t="shared" si="35"/>
        <v>9.406218562817978</v>
      </c>
      <c r="AF233" s="24"/>
      <c r="AG233" s="202"/>
      <c r="AH233" s="191"/>
      <c r="AI233" s="37"/>
      <c r="AJ233" s="203"/>
      <c r="AK233" s="31"/>
      <c r="AL233" s="24"/>
      <c r="AM233" s="202"/>
      <c r="AN233" s="191"/>
      <c r="AO233" s="37"/>
      <c r="AP233" s="37"/>
      <c r="AQ233" s="37"/>
      <c r="AR233" s="24"/>
      <c r="AS233" s="202"/>
      <c r="AT233" s="191"/>
      <c r="AU233" s="24"/>
      <c r="AV233" s="202"/>
      <c r="AW233" s="191"/>
      <c r="AX233" s="24"/>
      <c r="AY233" s="202"/>
      <c r="AZ233" s="191"/>
      <c r="BA233" s="23"/>
      <c r="BB233" s="23"/>
      <c r="BC233" s="23"/>
      <c r="BD233" s="23"/>
      <c r="BE233" s="23"/>
      <c r="BF233" s="23"/>
      <c r="BG233" s="23"/>
      <c r="BH233" s="23"/>
      <c r="BI233" s="23"/>
      <c r="BJ233" s="24"/>
      <c r="BK233" s="202"/>
      <c r="BL233" s="191"/>
      <c r="BM233" s="37"/>
      <c r="BN233" s="203"/>
      <c r="BO233" s="31"/>
      <c r="BP233" s="24"/>
      <c r="BQ233" s="202"/>
      <c r="BR233" s="191"/>
      <c r="BS233" s="37"/>
      <c r="BT233" s="37"/>
      <c r="BU233" s="37"/>
      <c r="BV233" s="24"/>
      <c r="BW233" s="202"/>
      <c r="BX233" s="191"/>
      <c r="BY233" s="24"/>
      <c r="BZ233" s="202"/>
      <c r="CA233" s="191"/>
      <c r="CB233" s="24"/>
      <c r="CC233" s="202"/>
      <c r="CD233" s="191"/>
    </row>
    <row r="234" spans="1:82">
      <c r="A234" s="81">
        <v>57</v>
      </c>
      <c r="B234" s="82">
        <v>39</v>
      </c>
      <c r="C234" s="82">
        <v>47</v>
      </c>
      <c r="D234" s="82">
        <v>3</v>
      </c>
      <c r="E234" s="82">
        <v>2.5</v>
      </c>
      <c r="F234" s="82">
        <f t="shared" si="27"/>
        <v>2.75</v>
      </c>
      <c r="G234" s="200">
        <v>4</v>
      </c>
      <c r="H234" s="82">
        <v>8.4000000000000005E-2</v>
      </c>
      <c r="I234" s="82">
        <v>21</v>
      </c>
      <c r="J234" s="179">
        <f t="shared" si="28"/>
        <v>0.4</v>
      </c>
      <c r="K234" s="82">
        <f t="shared" si="29"/>
        <v>1.3843066666666673E-2</v>
      </c>
      <c r="L234" s="3">
        <f t="shared" si="30"/>
        <v>2.8073765894292083E-12</v>
      </c>
      <c r="M234" s="3">
        <f t="shared" si="31"/>
        <v>4930961780.7567539</v>
      </c>
      <c r="N234" s="29">
        <f t="shared" si="32"/>
        <v>4.9309617807567543</v>
      </c>
      <c r="O234" s="30">
        <f t="shared" si="33"/>
        <v>0.4</v>
      </c>
      <c r="P234" s="175">
        <f t="shared" si="34"/>
        <v>1.3843066666666673E-2</v>
      </c>
      <c r="Q234" s="26">
        <f t="shared" si="35"/>
        <v>4.9309617807567543</v>
      </c>
      <c r="AF234" s="24"/>
      <c r="AG234" s="202"/>
      <c r="AH234" s="191"/>
      <c r="AI234" s="37"/>
      <c r="AJ234" s="203"/>
      <c r="AK234" s="31"/>
      <c r="AL234" s="24"/>
      <c r="AM234" s="202"/>
      <c r="AN234" s="191"/>
      <c r="AO234" s="37"/>
      <c r="AP234" s="37"/>
      <c r="AQ234" s="37"/>
      <c r="AR234" s="24"/>
      <c r="AS234" s="202"/>
      <c r="AT234" s="191"/>
      <c r="AU234" s="24"/>
      <c r="AV234" s="202"/>
      <c r="AW234" s="191"/>
      <c r="AX234" s="24"/>
      <c r="AY234" s="202"/>
      <c r="AZ234" s="191"/>
      <c r="BA234" s="23"/>
      <c r="BB234" s="23"/>
      <c r="BC234" s="23"/>
      <c r="BD234" s="23"/>
      <c r="BE234" s="23"/>
      <c r="BF234" s="23"/>
      <c r="BG234" s="23"/>
      <c r="BH234" s="23"/>
      <c r="BI234" s="23"/>
      <c r="BJ234" s="24"/>
      <c r="BK234" s="202"/>
      <c r="BL234" s="191"/>
      <c r="BM234" s="37"/>
      <c r="BN234" s="203"/>
      <c r="BO234" s="31"/>
      <c r="BP234" s="24"/>
      <c r="BQ234" s="202"/>
      <c r="BR234" s="191"/>
      <c r="BS234" s="37"/>
      <c r="BT234" s="37"/>
      <c r="BU234" s="37"/>
      <c r="BV234" s="24"/>
      <c r="BW234" s="202"/>
      <c r="BX234" s="191"/>
      <c r="BY234" s="24"/>
      <c r="BZ234" s="202"/>
      <c r="CA234" s="191"/>
      <c r="CB234" s="24"/>
      <c r="CC234" s="202"/>
      <c r="CD234" s="191"/>
    </row>
    <row r="235" spans="1:82">
      <c r="A235" s="204">
        <v>58</v>
      </c>
      <c r="B235" s="205">
        <v>40</v>
      </c>
      <c r="C235" s="205">
        <v>46</v>
      </c>
      <c r="D235" s="205">
        <v>4</v>
      </c>
      <c r="E235" s="205">
        <v>3</v>
      </c>
      <c r="F235" s="205">
        <f t="shared" si="27"/>
        <v>3.5</v>
      </c>
      <c r="G235" s="206">
        <v>1</v>
      </c>
      <c r="H235" s="205">
        <v>0.20100000000000001</v>
      </c>
      <c r="I235" s="205">
        <v>21</v>
      </c>
      <c r="J235" s="207">
        <f t="shared" si="28"/>
        <v>0.95714285714285718</v>
      </c>
      <c r="K235" s="205">
        <f t="shared" si="29"/>
        <v>3.1054819047619048E-2</v>
      </c>
      <c r="L235" s="205">
        <f t="shared" si="30"/>
        <v>7.3661757434268517E-12</v>
      </c>
      <c r="M235" s="205">
        <f t="shared" si="31"/>
        <v>4215867246.3565059</v>
      </c>
      <c r="N235" s="252">
        <f t="shared" si="32"/>
        <v>4.2158672463565061</v>
      </c>
      <c r="O235" s="207">
        <f t="shared" si="33"/>
        <v>0.95714285714285718</v>
      </c>
      <c r="P235" s="253">
        <f t="shared" si="34"/>
        <v>3.1054819047619048E-2</v>
      </c>
      <c r="Q235" s="254">
        <f t="shared" si="35"/>
        <v>4.2158672463565061</v>
      </c>
      <c r="AF235" s="24"/>
      <c r="AG235" s="202"/>
      <c r="AH235" s="191"/>
      <c r="AI235" s="37"/>
      <c r="AJ235" s="203"/>
      <c r="AK235" s="31"/>
      <c r="AL235" s="24"/>
      <c r="AM235" s="202"/>
      <c r="AN235" s="191"/>
      <c r="AO235" s="37"/>
      <c r="AP235" s="37"/>
      <c r="AQ235" s="37"/>
      <c r="AR235" s="24"/>
      <c r="AS235" s="202"/>
      <c r="AT235" s="191"/>
      <c r="AU235" s="24"/>
      <c r="AV235" s="202"/>
      <c r="AW235" s="191"/>
      <c r="AX235" s="24"/>
      <c r="AY235" s="202"/>
      <c r="AZ235" s="191"/>
      <c r="BA235" s="23"/>
      <c r="BB235" s="23"/>
      <c r="BC235" s="23"/>
      <c r="BD235" s="23"/>
      <c r="BE235" s="23"/>
      <c r="BF235" s="23"/>
      <c r="BG235" s="23"/>
      <c r="BH235" s="23"/>
      <c r="BI235" s="23"/>
      <c r="BJ235" s="24"/>
      <c r="BK235" s="202"/>
      <c r="BL235" s="191"/>
      <c r="BM235" s="37"/>
      <c r="BN235" s="203"/>
      <c r="BO235" s="31"/>
      <c r="BP235" s="24"/>
      <c r="BQ235" s="202"/>
      <c r="BR235" s="191"/>
      <c r="BS235" s="37"/>
      <c r="BT235" s="37"/>
      <c r="BU235" s="37"/>
      <c r="BV235" s="24"/>
      <c r="BW235" s="202"/>
      <c r="BX235" s="191"/>
      <c r="BY235" s="24"/>
      <c r="BZ235" s="202"/>
      <c r="CA235" s="191"/>
      <c r="CB235" s="24"/>
      <c r="CC235" s="202"/>
      <c r="CD235" s="191"/>
    </row>
    <row r="236" spans="1:82">
      <c r="A236" s="204">
        <v>58</v>
      </c>
      <c r="B236" s="205">
        <v>40</v>
      </c>
      <c r="C236" s="205">
        <v>46</v>
      </c>
      <c r="D236" s="205">
        <v>4</v>
      </c>
      <c r="E236" s="205">
        <v>3</v>
      </c>
      <c r="F236" s="205">
        <f t="shared" si="27"/>
        <v>3.5</v>
      </c>
      <c r="G236" s="206">
        <v>2</v>
      </c>
      <c r="H236" s="205">
        <v>0.216</v>
      </c>
      <c r="I236" s="205">
        <v>19.600000000000001</v>
      </c>
      <c r="J236" s="207">
        <f t="shared" si="28"/>
        <v>1.1020408163265305</v>
      </c>
      <c r="K236" s="205">
        <f t="shared" si="29"/>
        <v>3.5756081632653057E-2</v>
      </c>
      <c r="L236" s="205">
        <f t="shared" si="30"/>
        <v>7.3661757434268517E-12</v>
      </c>
      <c r="M236" s="205">
        <f t="shared" si="31"/>
        <v>4854090219.6855288</v>
      </c>
      <c r="N236" s="252">
        <f t="shared" si="32"/>
        <v>4.8540902196855287</v>
      </c>
      <c r="O236" s="207">
        <f t="shared" si="33"/>
        <v>1.1020408163265305</v>
      </c>
      <c r="P236" s="253">
        <f t="shared" si="34"/>
        <v>3.5756081632653057E-2</v>
      </c>
      <c r="Q236" s="254">
        <f t="shared" si="35"/>
        <v>4.8540902196855287</v>
      </c>
      <c r="AF236" s="24"/>
      <c r="AG236" s="202"/>
      <c r="AH236" s="191"/>
      <c r="AI236" s="37"/>
      <c r="AJ236" s="203"/>
      <c r="AK236" s="31"/>
      <c r="AL236" s="24"/>
      <c r="AM236" s="202"/>
      <c r="AN236" s="191"/>
      <c r="AO236" s="37"/>
      <c r="AP236" s="37"/>
      <c r="AQ236" s="37"/>
      <c r="AR236" s="24"/>
      <c r="AS236" s="202"/>
      <c r="AT236" s="191"/>
      <c r="AU236" s="24"/>
      <c r="AV236" s="202"/>
      <c r="AW236" s="191"/>
      <c r="AX236" s="24"/>
      <c r="AY236" s="202"/>
      <c r="AZ236" s="191"/>
      <c r="BA236" s="23"/>
      <c r="BB236" s="23"/>
      <c r="BC236" s="23"/>
      <c r="BD236" s="23"/>
      <c r="BE236" s="23"/>
      <c r="BF236" s="23"/>
      <c r="BG236" s="23"/>
      <c r="BH236" s="23"/>
      <c r="BI236" s="23"/>
      <c r="BJ236" s="24"/>
      <c r="BK236" s="202"/>
      <c r="BL236" s="191"/>
      <c r="BM236" s="37"/>
      <c r="BN236" s="203"/>
      <c r="BO236" s="31"/>
      <c r="BP236" s="24"/>
      <c r="BQ236" s="202"/>
      <c r="BR236" s="191"/>
      <c r="BS236" s="37"/>
      <c r="BT236" s="37"/>
      <c r="BU236" s="37"/>
      <c r="BV236" s="24"/>
      <c r="BW236" s="202"/>
      <c r="BX236" s="191"/>
      <c r="BY236" s="24"/>
      <c r="BZ236" s="202"/>
      <c r="CA236" s="191"/>
      <c r="CB236" s="24"/>
      <c r="CC236" s="202"/>
      <c r="CD236" s="191"/>
    </row>
    <row r="237" spans="1:82">
      <c r="A237" s="204">
        <v>58</v>
      </c>
      <c r="B237" s="205">
        <v>40</v>
      </c>
      <c r="C237" s="205">
        <v>46</v>
      </c>
      <c r="D237" s="205">
        <v>4</v>
      </c>
      <c r="E237" s="205">
        <v>3</v>
      </c>
      <c r="F237" s="205">
        <f t="shared" si="27"/>
        <v>3.5</v>
      </c>
      <c r="G237" s="206">
        <v>3</v>
      </c>
      <c r="H237" s="205">
        <v>0.127</v>
      </c>
      <c r="I237" s="205">
        <v>20.8</v>
      </c>
      <c r="J237" s="207">
        <f t="shared" si="28"/>
        <v>0.61057692307692302</v>
      </c>
      <c r="K237" s="205">
        <f t="shared" si="29"/>
        <v>1.9810371794871794E-2</v>
      </c>
      <c r="L237" s="205">
        <f t="shared" si="30"/>
        <v>7.3661757434268517E-12</v>
      </c>
      <c r="M237" s="205">
        <f t="shared" si="31"/>
        <v>2689369964.1295447</v>
      </c>
      <c r="N237" s="252">
        <f t="shared" si="32"/>
        <v>2.6893699641295448</v>
      </c>
      <c r="O237" s="207">
        <f t="shared" si="33"/>
        <v>0.61057692307692302</v>
      </c>
      <c r="P237" s="253">
        <f t="shared" si="34"/>
        <v>1.9810371794871794E-2</v>
      </c>
      <c r="Q237" s="254">
        <f t="shared" si="35"/>
        <v>2.6893699641295448</v>
      </c>
      <c r="AF237" s="24"/>
      <c r="AG237" s="202"/>
      <c r="AH237" s="191"/>
      <c r="AI237" s="37"/>
      <c r="AJ237" s="203"/>
      <c r="AK237" s="31"/>
      <c r="AL237" s="24"/>
      <c r="AM237" s="202"/>
      <c r="AN237" s="191"/>
      <c r="AO237" s="37"/>
      <c r="AP237" s="37"/>
      <c r="AQ237" s="37"/>
      <c r="AR237" s="24"/>
      <c r="AS237" s="202"/>
      <c r="AT237" s="191"/>
      <c r="AU237" s="24"/>
      <c r="AV237" s="202"/>
      <c r="AW237" s="191"/>
      <c r="AX237" s="24"/>
      <c r="AY237" s="202"/>
      <c r="AZ237" s="191"/>
      <c r="BA237" s="23"/>
      <c r="BB237" s="23"/>
      <c r="BC237" s="23"/>
      <c r="BD237" s="23"/>
      <c r="BE237" s="23"/>
      <c r="BF237" s="23"/>
      <c r="BG237" s="23"/>
      <c r="BH237" s="23"/>
      <c r="BI237" s="23"/>
      <c r="BJ237" s="24"/>
      <c r="BK237" s="202"/>
      <c r="BL237" s="191"/>
      <c r="BM237" s="37"/>
      <c r="BN237" s="203"/>
      <c r="BO237" s="31"/>
      <c r="BP237" s="24"/>
      <c r="BQ237" s="202"/>
      <c r="BR237" s="191"/>
      <c r="BS237" s="37"/>
      <c r="BT237" s="37"/>
      <c r="BU237" s="37"/>
      <c r="BV237" s="24"/>
      <c r="BW237" s="202"/>
      <c r="BX237" s="191"/>
      <c r="BY237" s="24"/>
      <c r="BZ237" s="202"/>
      <c r="CA237" s="191"/>
      <c r="CB237" s="24"/>
      <c r="CC237" s="202"/>
      <c r="CD237" s="191"/>
    </row>
    <row r="238" spans="1:82">
      <c r="A238" s="204">
        <v>58</v>
      </c>
      <c r="B238" s="205">
        <v>40</v>
      </c>
      <c r="C238" s="205">
        <v>46</v>
      </c>
      <c r="D238" s="205">
        <v>4</v>
      </c>
      <c r="E238" s="205">
        <v>3</v>
      </c>
      <c r="F238" s="205">
        <f t="shared" si="27"/>
        <v>3.5</v>
      </c>
      <c r="G238" s="206">
        <v>4</v>
      </c>
      <c r="H238" s="205">
        <v>0.10299999999999999</v>
      </c>
      <c r="I238" s="205">
        <v>21.1</v>
      </c>
      <c r="J238" s="207">
        <f t="shared" si="28"/>
        <v>0.48815165876777245</v>
      </c>
      <c r="K238" s="205">
        <f t="shared" si="29"/>
        <v>1.5838243285939968E-2</v>
      </c>
      <c r="L238" s="205">
        <f t="shared" si="30"/>
        <v>7.3661757434268517E-12</v>
      </c>
      <c r="M238" s="205">
        <f t="shared" si="31"/>
        <v>2150131063.6082907</v>
      </c>
      <c r="N238" s="252">
        <f t="shared" si="32"/>
        <v>2.1501310636082906</v>
      </c>
      <c r="O238" s="207">
        <f t="shared" si="33"/>
        <v>0.48815165876777245</v>
      </c>
      <c r="P238" s="253">
        <f t="shared" si="34"/>
        <v>1.5838243285939968E-2</v>
      </c>
      <c r="Q238" s="254">
        <f t="shared" si="35"/>
        <v>2.1501310636082906</v>
      </c>
      <c r="AF238" s="24"/>
      <c r="AG238" s="202"/>
      <c r="AH238" s="191"/>
      <c r="AI238" s="37"/>
      <c r="AJ238" s="203"/>
      <c r="AK238" s="31"/>
      <c r="AL238" s="24"/>
      <c r="AM238" s="202"/>
      <c r="AN238" s="191"/>
      <c r="AO238" s="37"/>
      <c r="AP238" s="37"/>
      <c r="AQ238" s="37"/>
      <c r="AR238" s="24"/>
      <c r="AS238" s="202"/>
      <c r="AT238" s="191"/>
      <c r="AU238" s="24"/>
      <c r="AV238" s="202"/>
      <c r="AW238" s="191"/>
      <c r="AX238" s="24"/>
      <c r="AY238" s="202"/>
      <c r="AZ238" s="191"/>
      <c r="BA238" s="23"/>
      <c r="BB238" s="23"/>
      <c r="BC238" s="23"/>
      <c r="BD238" s="23"/>
      <c r="BE238" s="23"/>
      <c r="BF238" s="23"/>
      <c r="BG238" s="23"/>
      <c r="BH238" s="23"/>
      <c r="BI238" s="23"/>
      <c r="BJ238" s="24"/>
      <c r="BK238" s="202"/>
      <c r="BL238" s="191"/>
      <c r="BM238" s="37"/>
      <c r="BN238" s="203"/>
      <c r="BO238" s="31"/>
      <c r="BP238" s="24"/>
      <c r="BQ238" s="202"/>
      <c r="BR238" s="191"/>
      <c r="BS238" s="37"/>
      <c r="BT238" s="37"/>
      <c r="BU238" s="37"/>
      <c r="BV238" s="24"/>
      <c r="BW238" s="202"/>
      <c r="BX238" s="191"/>
      <c r="BY238" s="24"/>
      <c r="BZ238" s="202"/>
      <c r="CA238" s="191"/>
      <c r="CB238" s="24"/>
      <c r="CC238" s="202"/>
      <c r="CD238" s="191"/>
    </row>
    <row r="239" spans="1:82">
      <c r="A239" s="81">
        <v>59</v>
      </c>
      <c r="B239" s="82">
        <v>38</v>
      </c>
      <c r="C239" s="82">
        <v>59</v>
      </c>
      <c r="D239" s="82">
        <v>3.5</v>
      </c>
      <c r="E239" s="82">
        <v>2.5</v>
      </c>
      <c r="F239" s="82">
        <f t="shared" si="27"/>
        <v>3</v>
      </c>
      <c r="G239" s="200">
        <v>1</v>
      </c>
      <c r="H239" s="82">
        <v>6.0999999999999999E-2</v>
      </c>
      <c r="I239" s="82">
        <v>23.6</v>
      </c>
      <c r="J239" s="179">
        <f t="shared" si="28"/>
        <v>0.25847457627118642</v>
      </c>
      <c r="K239" s="82">
        <f t="shared" si="29"/>
        <v>1.769508333333333E-2</v>
      </c>
      <c r="L239" s="3">
        <f t="shared" si="30"/>
        <v>3.9760782021995822E-12</v>
      </c>
      <c r="M239" s="3">
        <f t="shared" si="31"/>
        <v>4450386142.6931543</v>
      </c>
      <c r="N239" s="29">
        <f t="shared" si="32"/>
        <v>4.4503861426931541</v>
      </c>
      <c r="O239" s="30">
        <f t="shared" si="33"/>
        <v>0.25847457627118642</v>
      </c>
      <c r="P239" s="175">
        <f t="shared" si="34"/>
        <v>1.769508333333333E-2</v>
      </c>
      <c r="Q239" s="26">
        <f t="shared" si="35"/>
        <v>4.4503861426931541</v>
      </c>
      <c r="AF239" s="24"/>
      <c r="AG239" s="202"/>
      <c r="AH239" s="191"/>
      <c r="AI239" s="37"/>
      <c r="AJ239" s="203"/>
      <c r="AK239" s="31"/>
      <c r="AL239" s="24"/>
      <c r="AM239" s="202"/>
      <c r="AN239" s="191"/>
      <c r="AO239" s="37"/>
      <c r="AP239" s="37"/>
      <c r="AQ239" s="37"/>
      <c r="AR239" s="24"/>
      <c r="AS239" s="202"/>
      <c r="AT239" s="191"/>
      <c r="AU239" s="24"/>
      <c r="AV239" s="202"/>
      <c r="AW239" s="191"/>
      <c r="AX239" s="24"/>
      <c r="AY239" s="202"/>
      <c r="AZ239" s="191"/>
      <c r="BA239" s="23"/>
      <c r="BB239" s="23"/>
      <c r="BC239" s="23"/>
      <c r="BD239" s="23"/>
      <c r="BE239" s="23"/>
      <c r="BF239" s="23"/>
      <c r="BG239" s="23"/>
      <c r="BH239" s="23"/>
      <c r="BI239" s="23"/>
      <c r="BJ239" s="24"/>
      <c r="BK239" s="202"/>
      <c r="BL239" s="191"/>
      <c r="BM239" s="37"/>
      <c r="BN239" s="203"/>
      <c r="BO239" s="31"/>
      <c r="BP239" s="24"/>
      <c r="BQ239" s="202"/>
      <c r="BR239" s="191"/>
      <c r="BS239" s="37"/>
      <c r="BT239" s="37"/>
      <c r="BU239" s="37"/>
      <c r="BV239" s="24"/>
      <c r="BW239" s="202"/>
      <c r="BX239" s="191"/>
      <c r="BY239" s="24"/>
      <c r="BZ239" s="202"/>
      <c r="CA239" s="191"/>
      <c r="CB239" s="24"/>
      <c r="CC239" s="202"/>
      <c r="CD239" s="191"/>
    </row>
    <row r="240" spans="1:82">
      <c r="A240" s="81">
        <v>59</v>
      </c>
      <c r="B240" s="82">
        <v>38</v>
      </c>
      <c r="C240" s="82">
        <v>59</v>
      </c>
      <c r="D240" s="82">
        <v>3.5</v>
      </c>
      <c r="E240" s="82">
        <v>2.5</v>
      </c>
      <c r="F240" s="82">
        <f t="shared" si="27"/>
        <v>3</v>
      </c>
      <c r="G240" s="200">
        <v>2</v>
      </c>
      <c r="H240" s="82">
        <v>7.2999999999999995E-2</v>
      </c>
      <c r="I240" s="82">
        <v>25</v>
      </c>
      <c r="J240" s="179">
        <f t="shared" si="28"/>
        <v>0.29199999999999998</v>
      </c>
      <c r="K240" s="82">
        <f t="shared" si="29"/>
        <v>1.9990222666666665E-2</v>
      </c>
      <c r="L240" s="3">
        <f t="shared" si="30"/>
        <v>3.9760782021995822E-12</v>
      </c>
      <c r="M240" s="3">
        <f t="shared" si="31"/>
        <v>5027623112.5454206</v>
      </c>
      <c r="N240" s="29">
        <f t="shared" si="32"/>
        <v>5.0276231125454203</v>
      </c>
      <c r="O240" s="30">
        <f t="shared" si="33"/>
        <v>0.29199999999999998</v>
      </c>
      <c r="P240" s="175">
        <f t="shared" si="34"/>
        <v>1.9990222666666665E-2</v>
      </c>
      <c r="Q240" s="26">
        <f t="shared" si="35"/>
        <v>5.0276231125454203</v>
      </c>
      <c r="AF240" s="24"/>
      <c r="AG240" s="202"/>
      <c r="AH240" s="191"/>
      <c r="AI240" s="37"/>
      <c r="AJ240" s="203"/>
      <c r="AK240" s="31"/>
      <c r="AL240" s="24"/>
      <c r="AM240" s="202"/>
      <c r="AN240" s="191"/>
      <c r="AO240" s="37"/>
      <c r="AP240" s="37"/>
      <c r="AQ240" s="37"/>
      <c r="AR240" s="24"/>
      <c r="AS240" s="202"/>
      <c r="AT240" s="191"/>
      <c r="AU240" s="24"/>
      <c r="AV240" s="202"/>
      <c r="AW240" s="191"/>
      <c r="AX240" s="24"/>
      <c r="AY240" s="202"/>
      <c r="AZ240" s="191"/>
      <c r="BA240" s="23"/>
      <c r="BB240" s="23"/>
      <c r="BC240" s="23"/>
      <c r="BD240" s="23"/>
      <c r="BE240" s="23"/>
      <c r="BF240" s="23"/>
      <c r="BG240" s="23"/>
      <c r="BH240" s="23"/>
      <c r="BI240" s="23"/>
      <c r="BJ240" s="24"/>
      <c r="BK240" s="202"/>
      <c r="BL240" s="191"/>
      <c r="BM240" s="37"/>
      <c r="BN240" s="203"/>
      <c r="BO240" s="31"/>
      <c r="BP240" s="24"/>
      <c r="BQ240" s="202"/>
      <c r="BR240" s="191"/>
      <c r="BS240" s="37"/>
      <c r="BT240" s="37"/>
      <c r="BU240" s="37"/>
      <c r="BV240" s="24"/>
      <c r="BW240" s="202"/>
      <c r="BX240" s="191"/>
      <c r="BY240" s="24"/>
      <c r="BZ240" s="202"/>
      <c r="CA240" s="191"/>
      <c r="CB240" s="24"/>
      <c r="CC240" s="202"/>
      <c r="CD240" s="191"/>
    </row>
    <row r="241" spans="1:82">
      <c r="A241" s="81">
        <v>59</v>
      </c>
      <c r="B241" s="82">
        <v>38</v>
      </c>
      <c r="C241" s="82">
        <v>59</v>
      </c>
      <c r="D241" s="82">
        <v>3.5</v>
      </c>
      <c r="E241" s="82">
        <v>2.5</v>
      </c>
      <c r="F241" s="82">
        <f t="shared" si="27"/>
        <v>3</v>
      </c>
      <c r="G241" s="200">
        <v>3</v>
      </c>
      <c r="H241" s="82">
        <v>5.8999999999999997E-2</v>
      </c>
      <c r="I241" s="82">
        <v>24.5</v>
      </c>
      <c r="J241" s="179">
        <f t="shared" si="28"/>
        <v>0.24081632653061225</v>
      </c>
      <c r="K241" s="82">
        <f t="shared" si="29"/>
        <v>1.6486205442176868E-2</v>
      </c>
      <c r="L241" s="3">
        <f t="shared" si="30"/>
        <v>3.9760782021995822E-12</v>
      </c>
      <c r="M241" s="3">
        <f t="shared" si="31"/>
        <v>4146348387.4780517</v>
      </c>
      <c r="N241" s="29">
        <f t="shared" si="32"/>
        <v>4.146348387478052</v>
      </c>
      <c r="O241" s="30">
        <f t="shared" si="33"/>
        <v>0.24081632653061225</v>
      </c>
      <c r="P241" s="175">
        <f t="shared" si="34"/>
        <v>1.6486205442176868E-2</v>
      </c>
      <c r="Q241" s="26">
        <f t="shared" si="35"/>
        <v>4.146348387478052</v>
      </c>
      <c r="AF241" s="24"/>
      <c r="AG241" s="202"/>
      <c r="AH241" s="191"/>
      <c r="AI241" s="37"/>
      <c r="AJ241" s="203"/>
      <c r="AK241" s="31"/>
      <c r="AL241" s="24"/>
      <c r="AM241" s="202"/>
      <c r="AN241" s="191"/>
      <c r="AO241" s="37"/>
      <c r="AP241" s="37"/>
      <c r="AQ241" s="37"/>
      <c r="AR241" s="24"/>
      <c r="AS241" s="202"/>
      <c r="AT241" s="191"/>
      <c r="AU241" s="24"/>
      <c r="AV241" s="202"/>
      <c r="AW241" s="191"/>
      <c r="AX241" s="24"/>
      <c r="AY241" s="202"/>
      <c r="AZ241" s="191"/>
      <c r="BA241" s="23"/>
      <c r="BB241" s="23"/>
      <c r="BC241" s="23"/>
      <c r="BD241" s="23"/>
      <c r="BE241" s="23"/>
      <c r="BF241" s="23"/>
      <c r="BG241" s="23"/>
      <c r="BH241" s="23"/>
      <c r="BI241" s="23"/>
      <c r="BJ241" s="24"/>
      <c r="BK241" s="202"/>
      <c r="BL241" s="191"/>
      <c r="BM241" s="37"/>
      <c r="BN241" s="203"/>
      <c r="BO241" s="31"/>
      <c r="BP241" s="24"/>
      <c r="BQ241" s="202"/>
      <c r="BR241" s="191"/>
      <c r="BS241" s="37"/>
      <c r="BT241" s="37"/>
      <c r="BU241" s="37"/>
      <c r="BV241" s="24"/>
      <c r="BW241" s="202"/>
      <c r="BX241" s="191"/>
      <c r="BY241" s="24"/>
      <c r="BZ241" s="202"/>
      <c r="CA241" s="191"/>
      <c r="CB241" s="24"/>
      <c r="CC241" s="202"/>
      <c r="CD241" s="191"/>
    </row>
    <row r="242" spans="1:82">
      <c r="A242" s="81">
        <v>59</v>
      </c>
      <c r="B242" s="82">
        <v>38</v>
      </c>
      <c r="C242" s="82">
        <v>59</v>
      </c>
      <c r="D242" s="82">
        <v>3.5</v>
      </c>
      <c r="E242" s="82">
        <v>2.5</v>
      </c>
      <c r="F242" s="82">
        <f t="shared" si="27"/>
        <v>3</v>
      </c>
      <c r="G242" s="200">
        <v>4</v>
      </c>
      <c r="H242" s="82">
        <v>5.7000000000000002E-2</v>
      </c>
      <c r="I242" s="82">
        <v>25.2</v>
      </c>
      <c r="J242" s="179">
        <f t="shared" si="28"/>
        <v>0.22619047619047619</v>
      </c>
      <c r="K242" s="82">
        <f t="shared" si="29"/>
        <v>1.5484924603174603E-2</v>
      </c>
      <c r="L242" s="3">
        <f t="shared" si="30"/>
        <v>3.9760782021995822E-12</v>
      </c>
      <c r="M242" s="3">
        <f t="shared" si="31"/>
        <v>3894522143.6057978</v>
      </c>
      <c r="N242" s="29">
        <f t="shared" si="32"/>
        <v>3.8945221436057977</v>
      </c>
      <c r="O242" s="30">
        <f t="shared" si="33"/>
        <v>0.22619047619047619</v>
      </c>
      <c r="P242" s="175">
        <f t="shared" si="34"/>
        <v>1.5484924603174603E-2</v>
      </c>
      <c r="Q242" s="26">
        <f t="shared" si="35"/>
        <v>3.8945221436057977</v>
      </c>
      <c r="AF242" s="24"/>
      <c r="AG242" s="202"/>
      <c r="AH242" s="191"/>
      <c r="AI242" s="37"/>
      <c r="AJ242" s="203"/>
      <c r="AK242" s="31"/>
      <c r="AL242" s="24"/>
      <c r="AM242" s="202"/>
      <c r="AN242" s="191"/>
      <c r="AO242" s="37"/>
      <c r="AP242" s="37"/>
      <c r="AQ242" s="37"/>
      <c r="AR242" s="24"/>
      <c r="AS242" s="202"/>
      <c r="AT242" s="191"/>
      <c r="AU242" s="24"/>
      <c r="AV242" s="202"/>
      <c r="AW242" s="191"/>
      <c r="AX242" s="24"/>
      <c r="AY242" s="202"/>
      <c r="AZ242" s="191"/>
      <c r="BA242" s="23"/>
      <c r="BB242" s="23"/>
      <c r="BC242" s="23"/>
      <c r="BD242" s="23"/>
      <c r="BE242" s="23"/>
      <c r="BF242" s="23"/>
      <c r="BG242" s="23"/>
      <c r="BH242" s="23"/>
      <c r="BI242" s="23"/>
      <c r="BJ242" s="24"/>
      <c r="BK242" s="202"/>
      <c r="BL242" s="191"/>
      <c r="BM242" s="37"/>
      <c r="BN242" s="203"/>
      <c r="BO242" s="31"/>
      <c r="BP242" s="24"/>
      <c r="BQ242" s="202"/>
      <c r="BR242" s="191"/>
      <c r="BS242" s="37"/>
      <c r="BT242" s="37"/>
      <c r="BU242" s="37"/>
      <c r="BV242" s="24"/>
      <c r="BW242" s="202"/>
      <c r="BX242" s="191"/>
      <c r="BY242" s="24"/>
      <c r="BZ242" s="202"/>
      <c r="CA242" s="191"/>
      <c r="CB242" s="24"/>
      <c r="CC242" s="202"/>
      <c r="CD242" s="191"/>
    </row>
    <row r="243" spans="1:82">
      <c r="A243" s="204">
        <v>60</v>
      </c>
      <c r="B243" s="205">
        <v>36</v>
      </c>
      <c r="C243" s="205">
        <v>42</v>
      </c>
      <c r="D243" s="205">
        <v>3</v>
      </c>
      <c r="E243" s="205">
        <v>2.5</v>
      </c>
      <c r="F243" s="205">
        <f t="shared" si="27"/>
        <v>2.75</v>
      </c>
      <c r="G243" s="206">
        <v>1</v>
      </c>
      <c r="H243" s="205">
        <v>0.11700000000000001</v>
      </c>
      <c r="I243" s="205">
        <v>21</v>
      </c>
      <c r="J243" s="207">
        <f t="shared" si="28"/>
        <v>0.55714285714285716</v>
      </c>
      <c r="K243" s="205">
        <f t="shared" si="29"/>
        <v>1.3759199999999999E-2</v>
      </c>
      <c r="L243" s="205">
        <f t="shared" si="30"/>
        <v>2.8073765894292083E-12</v>
      </c>
      <c r="M243" s="205">
        <f t="shared" si="31"/>
        <v>4901088101.8985415</v>
      </c>
      <c r="N243" s="252">
        <f t="shared" si="32"/>
        <v>4.9010881018985417</v>
      </c>
      <c r="O243" s="207">
        <f t="shared" si="33"/>
        <v>0.55714285714285716</v>
      </c>
      <c r="P243" s="253">
        <f t="shared" si="34"/>
        <v>1.3759199999999999E-2</v>
      </c>
      <c r="Q243" s="254">
        <f t="shared" si="35"/>
        <v>4.9010881018985417</v>
      </c>
      <c r="AF243" s="24"/>
      <c r="AG243" s="202"/>
      <c r="AH243" s="191"/>
      <c r="AI243" s="37"/>
      <c r="AJ243" s="203"/>
      <c r="AK243" s="31"/>
      <c r="AL243" s="24"/>
      <c r="AM243" s="202"/>
      <c r="AN243" s="191"/>
      <c r="AO243" s="37"/>
      <c r="AP243" s="37"/>
      <c r="AQ243" s="37"/>
      <c r="AR243" s="24"/>
      <c r="AS243" s="202"/>
      <c r="AT243" s="191"/>
      <c r="AU243" s="24"/>
      <c r="AV243" s="202"/>
      <c r="AW243" s="191"/>
      <c r="AX243" s="24"/>
      <c r="AY243" s="202"/>
      <c r="AZ243" s="191"/>
      <c r="BA243" s="23"/>
      <c r="BB243" s="23"/>
      <c r="BC243" s="23"/>
      <c r="BD243" s="23"/>
      <c r="BE243" s="23"/>
      <c r="BF243" s="23"/>
      <c r="BG243" s="23"/>
      <c r="BH243" s="23"/>
      <c r="BI243" s="23"/>
      <c r="BJ243" s="24"/>
      <c r="BK243" s="202"/>
      <c r="BL243" s="191"/>
      <c r="BM243" s="37"/>
      <c r="BN243" s="203"/>
      <c r="BO243" s="31"/>
      <c r="BP243" s="24"/>
      <c r="BQ243" s="202"/>
      <c r="BR243" s="191"/>
      <c r="BS243" s="37"/>
      <c r="BT243" s="37"/>
      <c r="BU243" s="37"/>
      <c r="BV243" s="24"/>
      <c r="BW243" s="202"/>
      <c r="BX243" s="191"/>
      <c r="BY243" s="24"/>
      <c r="BZ243" s="202"/>
      <c r="CA243" s="191"/>
      <c r="CB243" s="24"/>
      <c r="CC243" s="202"/>
      <c r="CD243" s="191"/>
    </row>
    <row r="244" spans="1:82">
      <c r="A244" s="204">
        <v>60</v>
      </c>
      <c r="B244" s="205">
        <v>36</v>
      </c>
      <c r="C244" s="205">
        <v>42</v>
      </c>
      <c r="D244" s="205">
        <v>3</v>
      </c>
      <c r="E244" s="205">
        <v>2.5</v>
      </c>
      <c r="F244" s="205">
        <f t="shared" si="27"/>
        <v>2.75</v>
      </c>
      <c r="G244" s="206">
        <v>2</v>
      </c>
      <c r="H244" s="205">
        <v>5.1999999999999998E-2</v>
      </c>
      <c r="I244" s="205">
        <v>19.899999999999999</v>
      </c>
      <c r="J244" s="207">
        <f t="shared" si="28"/>
        <v>0.2613065326633166</v>
      </c>
      <c r="K244" s="205">
        <f t="shared" si="29"/>
        <v>6.4532261306532654E-3</v>
      </c>
      <c r="L244" s="205">
        <f t="shared" si="30"/>
        <v>2.8073765894292083E-12</v>
      </c>
      <c r="M244" s="205">
        <f t="shared" si="31"/>
        <v>2298667786.4850779</v>
      </c>
      <c r="N244" s="252">
        <f t="shared" si="32"/>
        <v>2.298667786485078</v>
      </c>
      <c r="O244" s="207">
        <f t="shared" si="33"/>
        <v>0.2613065326633166</v>
      </c>
      <c r="P244" s="253">
        <f t="shared" si="34"/>
        <v>6.4532261306532654E-3</v>
      </c>
      <c r="Q244" s="254">
        <f t="shared" si="35"/>
        <v>2.298667786485078</v>
      </c>
      <c r="AF244" s="24"/>
      <c r="AG244" s="202"/>
      <c r="AH244" s="191"/>
      <c r="AI244" s="37"/>
      <c r="AJ244" s="203"/>
      <c r="AK244" s="31"/>
      <c r="AL244" s="24"/>
      <c r="AM244" s="202"/>
      <c r="AN244" s="191"/>
      <c r="AO244" s="37"/>
      <c r="AP244" s="37"/>
      <c r="AQ244" s="37"/>
      <c r="AR244" s="24"/>
      <c r="AS244" s="202"/>
      <c r="AT244" s="191"/>
      <c r="AU244" s="24"/>
      <c r="AV244" s="202"/>
      <c r="AW244" s="191"/>
      <c r="AX244" s="24"/>
      <c r="AY244" s="202"/>
      <c r="AZ244" s="191"/>
      <c r="BA244" s="23"/>
      <c r="BB244" s="23"/>
      <c r="BC244" s="23"/>
      <c r="BD244" s="23"/>
      <c r="BE244" s="23"/>
      <c r="BF244" s="23"/>
      <c r="BG244" s="23"/>
      <c r="BH244" s="23"/>
      <c r="BI244" s="23"/>
      <c r="BJ244" s="24"/>
      <c r="BK244" s="202"/>
      <c r="BL244" s="191"/>
      <c r="BM244" s="37"/>
      <c r="BN244" s="203"/>
      <c r="BO244" s="31"/>
      <c r="BP244" s="24"/>
      <c r="BQ244" s="202"/>
      <c r="BR244" s="191"/>
      <c r="BS244" s="37"/>
      <c r="BT244" s="37"/>
      <c r="BU244" s="37"/>
      <c r="BV244" s="24"/>
      <c r="BW244" s="202"/>
      <c r="BX244" s="191"/>
      <c r="BY244" s="24"/>
      <c r="BZ244" s="202"/>
      <c r="CA244" s="191"/>
      <c r="CB244" s="24"/>
      <c r="CC244" s="202"/>
      <c r="CD244" s="191"/>
    </row>
    <row r="245" spans="1:82">
      <c r="A245" s="204">
        <v>60</v>
      </c>
      <c r="B245" s="205">
        <v>36</v>
      </c>
      <c r="C245" s="205">
        <v>42</v>
      </c>
      <c r="D245" s="205">
        <v>3</v>
      </c>
      <c r="E245" s="205">
        <v>2.5</v>
      </c>
      <c r="F245" s="205">
        <f t="shared" si="27"/>
        <v>2.75</v>
      </c>
      <c r="G245" s="206">
        <v>3</v>
      </c>
      <c r="H245" s="205">
        <v>6.9000000000000006E-2</v>
      </c>
      <c r="I245" s="205">
        <v>19.600000000000001</v>
      </c>
      <c r="J245" s="207">
        <f t="shared" si="28"/>
        <v>0.35204081632653061</v>
      </c>
      <c r="K245" s="205">
        <f t="shared" si="29"/>
        <v>8.6939999999999986E-3</v>
      </c>
      <c r="L245" s="205">
        <f t="shared" si="30"/>
        <v>2.8073765894292083E-12</v>
      </c>
      <c r="M245" s="205">
        <f t="shared" si="31"/>
        <v>3096841383.0677595</v>
      </c>
      <c r="N245" s="252">
        <f t="shared" si="32"/>
        <v>3.0968413830677597</v>
      </c>
      <c r="O245" s="207">
        <f t="shared" si="33"/>
        <v>0.35204081632653061</v>
      </c>
      <c r="P245" s="253">
        <f t="shared" si="34"/>
        <v>8.6939999999999986E-3</v>
      </c>
      <c r="Q245" s="254">
        <f t="shared" si="35"/>
        <v>3.0968413830677597</v>
      </c>
      <c r="AF245" s="24"/>
      <c r="AG245" s="202"/>
      <c r="AH245" s="191"/>
      <c r="AI245" s="37"/>
      <c r="AJ245" s="203"/>
      <c r="AK245" s="31"/>
      <c r="AL245" s="24"/>
      <c r="AM245" s="202"/>
      <c r="AN245" s="191"/>
      <c r="AO245" s="37"/>
      <c r="AP245" s="37"/>
      <c r="AQ245" s="37"/>
      <c r="AR245" s="24"/>
      <c r="AS245" s="202"/>
      <c r="AT245" s="191"/>
      <c r="AU245" s="24"/>
      <c r="AV245" s="202"/>
      <c r="AW245" s="191"/>
      <c r="AX245" s="24"/>
      <c r="AY245" s="202"/>
      <c r="AZ245" s="191"/>
      <c r="BA245" s="23"/>
      <c r="BB245" s="23"/>
      <c r="BC245" s="23"/>
      <c r="BD245" s="23"/>
      <c r="BE245" s="23"/>
      <c r="BF245" s="23"/>
      <c r="BG245" s="23"/>
      <c r="BH245" s="23"/>
      <c r="BI245" s="23"/>
      <c r="BJ245" s="24"/>
      <c r="BK245" s="202"/>
      <c r="BL245" s="191"/>
      <c r="BM245" s="37"/>
      <c r="BN245" s="203"/>
      <c r="BO245" s="31"/>
      <c r="BP245" s="24"/>
      <c r="BQ245" s="202"/>
      <c r="BR245" s="191"/>
      <c r="BS245" s="37"/>
      <c r="BT245" s="37"/>
      <c r="BU245" s="37"/>
      <c r="BV245" s="24"/>
      <c r="BW245" s="202"/>
      <c r="BX245" s="191"/>
      <c r="BY245" s="24"/>
      <c r="BZ245" s="202"/>
      <c r="CA245" s="191"/>
      <c r="CB245" s="24"/>
      <c r="CC245" s="202"/>
      <c r="CD245" s="191"/>
    </row>
    <row r="246" spans="1:82" ht="15.75" thickBot="1">
      <c r="A246" s="210">
        <v>60</v>
      </c>
      <c r="B246" s="211">
        <v>36</v>
      </c>
      <c r="C246" s="211">
        <v>42</v>
      </c>
      <c r="D246" s="211">
        <v>3</v>
      </c>
      <c r="E246" s="211">
        <v>2.5</v>
      </c>
      <c r="F246" s="211">
        <f t="shared" si="27"/>
        <v>2.75</v>
      </c>
      <c r="G246" s="212">
        <v>4</v>
      </c>
      <c r="H246" s="211">
        <v>5.6000000000000001E-2</v>
      </c>
      <c r="I246" s="211">
        <v>18.3</v>
      </c>
      <c r="J246" s="213">
        <f t="shared" si="28"/>
        <v>0.30601092896174859</v>
      </c>
      <c r="K246" s="211">
        <f t="shared" si="29"/>
        <v>7.5572459016393411E-3</v>
      </c>
      <c r="L246" s="211">
        <f t="shared" si="30"/>
        <v>2.8073765894292083E-12</v>
      </c>
      <c r="M246" s="211">
        <f t="shared" si="31"/>
        <v>2691924528.4352355</v>
      </c>
      <c r="N246" s="255">
        <f t="shared" si="32"/>
        <v>2.6919245284352353</v>
      </c>
      <c r="O246" s="213">
        <f t="shared" si="33"/>
        <v>0.30601092896174859</v>
      </c>
      <c r="P246" s="256">
        <f t="shared" si="34"/>
        <v>7.5572459016393411E-3</v>
      </c>
      <c r="Q246" s="257">
        <f t="shared" si="35"/>
        <v>2.6919245284352353</v>
      </c>
      <c r="AF246" s="24"/>
      <c r="AG246" s="202"/>
      <c r="AH246" s="191"/>
      <c r="AI246" s="37"/>
      <c r="AJ246" s="203"/>
      <c r="AK246" s="31"/>
      <c r="AL246" s="24"/>
      <c r="AM246" s="202"/>
      <c r="AN246" s="191"/>
      <c r="AO246" s="37"/>
      <c r="AP246" s="37"/>
      <c r="AQ246" s="37"/>
      <c r="AR246" s="24"/>
      <c r="AS246" s="202"/>
      <c r="AT246" s="191"/>
      <c r="AU246" s="24"/>
      <c r="AV246" s="202"/>
      <c r="AW246" s="191"/>
      <c r="AX246" s="24"/>
      <c r="AY246" s="202"/>
      <c r="AZ246" s="191"/>
      <c r="BA246" s="23"/>
      <c r="BB246" s="23"/>
      <c r="BC246" s="23"/>
      <c r="BD246" s="23"/>
      <c r="BE246" s="23"/>
      <c r="BF246" s="23"/>
      <c r="BG246" s="23"/>
      <c r="BH246" s="23"/>
      <c r="BI246" s="23"/>
      <c r="BJ246" s="24"/>
      <c r="BK246" s="202"/>
      <c r="BL246" s="191"/>
      <c r="BM246" s="37"/>
      <c r="BN246" s="203"/>
      <c r="BO246" s="31"/>
      <c r="BP246" s="24"/>
      <c r="BQ246" s="202"/>
      <c r="BR246" s="191"/>
      <c r="BS246" s="37"/>
      <c r="BT246" s="37"/>
      <c r="BU246" s="37"/>
      <c r="BV246" s="24"/>
      <c r="BW246" s="202"/>
      <c r="BX246" s="191"/>
      <c r="BY246" s="24"/>
      <c r="BZ246" s="202"/>
      <c r="CA246" s="191"/>
      <c r="CB246" s="24"/>
      <c r="CC246" s="202"/>
      <c r="CD246" s="191"/>
    </row>
    <row r="247" spans="1:82">
      <c r="AF247" s="24"/>
      <c r="AG247" s="202"/>
      <c r="AH247" s="191"/>
      <c r="AI247" s="37"/>
      <c r="AJ247" s="203"/>
      <c r="AK247" s="31"/>
      <c r="AL247" s="24"/>
      <c r="AM247" s="202"/>
      <c r="AN247" s="191"/>
      <c r="AO247" s="37"/>
      <c r="AP247" s="37"/>
      <c r="AQ247" s="37"/>
      <c r="AR247" s="24"/>
      <c r="AS247" s="202"/>
      <c r="AT247" s="191"/>
      <c r="AU247" s="24"/>
      <c r="AV247" s="202"/>
      <c r="AW247" s="191"/>
      <c r="AX247" s="24"/>
      <c r="AY247" s="202"/>
      <c r="AZ247" s="191"/>
      <c r="BA247" s="23"/>
      <c r="BB247" s="23"/>
      <c r="BC247" s="23"/>
      <c r="BD247" s="23"/>
      <c r="BE247" s="23"/>
      <c r="BF247" s="23"/>
      <c r="BG247" s="23"/>
      <c r="BH247" s="23"/>
      <c r="BI247" s="23"/>
      <c r="BJ247" s="24"/>
      <c r="BK247" s="202"/>
      <c r="BL247" s="191"/>
      <c r="BM247" s="37"/>
      <c r="BN247" s="203"/>
      <c r="BO247" s="31"/>
      <c r="BP247" s="24"/>
      <c r="BQ247" s="202"/>
      <c r="BR247" s="191"/>
      <c r="BS247" s="37"/>
      <c r="BT247" s="37"/>
      <c r="BU247" s="37"/>
      <c r="BV247" s="24"/>
      <c r="BW247" s="202"/>
      <c r="BX247" s="191"/>
      <c r="BY247" s="24"/>
      <c r="BZ247" s="202"/>
      <c r="CA247" s="191"/>
      <c r="CB247" s="24"/>
      <c r="CC247" s="202"/>
      <c r="CD247" s="191"/>
    </row>
    <row r="248" spans="1:82" ht="19.5" thickBot="1">
      <c r="A248" s="214" t="s">
        <v>354</v>
      </c>
      <c r="AF248" s="24"/>
      <c r="AG248" s="202"/>
      <c r="AH248" s="191"/>
      <c r="AI248" s="37"/>
      <c r="AJ248" s="203"/>
      <c r="AK248" s="31"/>
      <c r="AL248" s="24"/>
      <c r="AM248" s="202"/>
      <c r="AN248" s="191"/>
      <c r="AO248" s="37"/>
      <c r="AP248" s="37"/>
      <c r="AQ248" s="37"/>
      <c r="AR248" s="24"/>
      <c r="AS248" s="202"/>
      <c r="AT248" s="191"/>
      <c r="AU248" s="24"/>
      <c r="AV248" s="202"/>
      <c r="AW248" s="191"/>
      <c r="AX248" s="24"/>
      <c r="AY248" s="202"/>
      <c r="AZ248" s="191"/>
      <c r="BA248" s="23"/>
      <c r="BB248" s="23"/>
      <c r="BC248" s="23"/>
      <c r="BD248" s="23"/>
      <c r="BE248" s="23"/>
      <c r="BF248" s="23"/>
      <c r="BG248" s="23"/>
      <c r="BH248" s="23"/>
      <c r="BI248" s="23"/>
      <c r="BJ248" s="24"/>
      <c r="BK248" s="202"/>
      <c r="BL248" s="191"/>
      <c r="BM248" s="37"/>
      <c r="BN248" s="203"/>
      <c r="BO248" s="31"/>
      <c r="BP248" s="24"/>
      <c r="BQ248" s="202"/>
      <c r="BR248" s="191"/>
      <c r="BS248" s="37"/>
      <c r="BT248" s="37"/>
      <c r="BU248" s="37"/>
      <c r="BV248" s="24"/>
      <c r="BW248" s="202"/>
      <c r="BX248" s="191"/>
      <c r="BY248" s="24"/>
      <c r="BZ248" s="202"/>
      <c r="CA248" s="191"/>
      <c r="CB248" s="24"/>
      <c r="CC248" s="202"/>
      <c r="CD248" s="191"/>
    </row>
    <row r="249" spans="1:82" ht="19.5" thickBot="1">
      <c r="A249" s="215" t="s">
        <v>332</v>
      </c>
      <c r="B249" s="216" t="s">
        <v>333</v>
      </c>
      <c r="C249" s="216" t="s">
        <v>259</v>
      </c>
      <c r="D249" s="216" t="s">
        <v>334</v>
      </c>
      <c r="E249" s="216" t="s">
        <v>335</v>
      </c>
      <c r="F249" s="216" t="s">
        <v>336</v>
      </c>
      <c r="G249" s="216" t="s">
        <v>337</v>
      </c>
      <c r="H249" s="216" t="s">
        <v>260</v>
      </c>
      <c r="I249" s="216" t="s">
        <v>261</v>
      </c>
      <c r="J249" s="216" t="s">
        <v>252</v>
      </c>
      <c r="K249" s="217" t="s">
        <v>250</v>
      </c>
      <c r="AF249" s="24"/>
      <c r="AG249" s="202"/>
      <c r="AH249" s="191"/>
      <c r="AI249" s="37"/>
      <c r="AJ249" s="203"/>
      <c r="AK249" s="31"/>
      <c r="AL249" s="24"/>
      <c r="AM249" s="202"/>
      <c r="AN249" s="191"/>
      <c r="AO249" s="37"/>
      <c r="AP249" s="37"/>
      <c r="AQ249" s="37"/>
      <c r="AR249" s="24"/>
      <c r="AS249" s="202"/>
      <c r="AT249" s="191"/>
      <c r="AU249" s="24"/>
      <c r="AV249" s="202"/>
      <c r="AW249" s="191"/>
      <c r="AX249" s="24"/>
      <c r="AY249" s="202"/>
      <c r="AZ249" s="191"/>
      <c r="BA249" s="23"/>
      <c r="BB249" s="23"/>
      <c r="BC249" s="23"/>
      <c r="BD249" s="23"/>
      <c r="BE249" s="23"/>
      <c r="BF249" s="23"/>
      <c r="BG249" s="23"/>
      <c r="BH249" s="23"/>
      <c r="BI249" s="23"/>
      <c r="BJ249" s="24"/>
      <c r="BK249" s="202"/>
      <c r="BL249" s="191"/>
      <c r="BM249" s="37"/>
      <c r="BN249" s="203"/>
      <c r="BO249" s="31"/>
      <c r="BP249" s="24"/>
      <c r="BQ249" s="202"/>
      <c r="BR249" s="191"/>
      <c r="BS249" s="37"/>
      <c r="BT249" s="37"/>
      <c r="BU249" s="37"/>
      <c r="BV249" s="24"/>
      <c r="BW249" s="202"/>
      <c r="BX249" s="191"/>
      <c r="BY249" s="24"/>
      <c r="BZ249" s="202"/>
      <c r="CA249" s="191"/>
      <c r="CB249" s="24"/>
      <c r="CC249" s="202"/>
      <c r="CD249" s="191"/>
    </row>
    <row r="250" spans="1:82">
      <c r="A250" s="218">
        <v>1</v>
      </c>
      <c r="B250" s="219">
        <v>13</v>
      </c>
      <c r="C250" s="219">
        <v>20</v>
      </c>
      <c r="D250" s="219">
        <v>2.5</v>
      </c>
      <c r="E250" s="219">
        <v>2</v>
      </c>
      <c r="F250" s="219">
        <f>AVERAGE(D250:E250)</f>
        <v>2.25</v>
      </c>
      <c r="G250" s="220">
        <v>1</v>
      </c>
      <c r="H250" s="219">
        <v>6.8000000000000005E-2</v>
      </c>
      <c r="I250" s="219">
        <v>9.8000000000000007</v>
      </c>
      <c r="J250" s="221">
        <f>H250/I250</f>
        <v>6.9387755102040816E-3</v>
      </c>
      <c r="K250" s="222">
        <f t="shared" ref="K250:K281" si="36">J250*(CONVERT(C250,"cm","m")^3)/3</f>
        <v>1.8503401360544222E-5</v>
      </c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</row>
    <row r="251" spans="1:82">
      <c r="A251" s="223">
        <v>1</v>
      </c>
      <c r="B251" s="224">
        <v>13</v>
      </c>
      <c r="C251" s="224">
        <v>20</v>
      </c>
      <c r="D251" s="224">
        <v>2.5</v>
      </c>
      <c r="E251" s="224">
        <v>2</v>
      </c>
      <c r="F251" s="224">
        <f t="shared" ref="F251:F281" si="37">AVERAGE(D251:E251)</f>
        <v>2.25</v>
      </c>
      <c r="G251" s="225">
        <v>2</v>
      </c>
      <c r="H251" s="224">
        <v>5.0999999999999997E-2</v>
      </c>
      <c r="I251" s="224">
        <v>10.7</v>
      </c>
      <c r="J251" s="226">
        <f t="shared" ref="J251:J281" si="38">H251/I251</f>
        <v>4.7663551401869158E-3</v>
      </c>
      <c r="K251" s="227">
        <f t="shared" si="36"/>
        <v>1.2710280373831777E-5</v>
      </c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</row>
    <row r="252" spans="1:82">
      <c r="A252" s="223">
        <v>1</v>
      </c>
      <c r="B252" s="224">
        <v>13</v>
      </c>
      <c r="C252" s="224">
        <v>20</v>
      </c>
      <c r="D252" s="224">
        <v>2.5</v>
      </c>
      <c r="E252" s="224">
        <v>2</v>
      </c>
      <c r="F252" s="224">
        <f t="shared" si="37"/>
        <v>2.25</v>
      </c>
      <c r="G252" s="225">
        <v>3</v>
      </c>
      <c r="H252" s="224">
        <v>0.13100000000000001</v>
      </c>
      <c r="I252" s="224">
        <v>10.7</v>
      </c>
      <c r="J252" s="226">
        <f t="shared" si="38"/>
        <v>1.2242990654205609E-2</v>
      </c>
      <c r="K252" s="227">
        <f t="shared" si="36"/>
        <v>3.2647975077881632E-5</v>
      </c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</row>
    <row r="253" spans="1:82" ht="15.75" thickBot="1">
      <c r="A253" s="228">
        <v>1</v>
      </c>
      <c r="B253" s="229">
        <v>13</v>
      </c>
      <c r="C253" s="229">
        <v>20</v>
      </c>
      <c r="D253" s="229">
        <v>2.5</v>
      </c>
      <c r="E253" s="229">
        <v>2</v>
      </c>
      <c r="F253" s="229">
        <f t="shared" si="37"/>
        <v>2.25</v>
      </c>
      <c r="G253" s="230">
        <v>4</v>
      </c>
      <c r="H253" s="229">
        <v>0.14199999999999999</v>
      </c>
      <c r="I253" s="229">
        <v>10.1</v>
      </c>
      <c r="J253" s="231">
        <f t="shared" si="38"/>
        <v>1.4059405940594058E-2</v>
      </c>
      <c r="K253" s="232">
        <f t="shared" si="36"/>
        <v>3.7491749174917501E-5</v>
      </c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</row>
    <row r="254" spans="1:82">
      <c r="A254" s="233">
        <v>2</v>
      </c>
      <c r="B254" s="234">
        <v>10.5</v>
      </c>
      <c r="C254" s="234">
        <v>21</v>
      </c>
      <c r="D254" s="234">
        <v>2.5</v>
      </c>
      <c r="E254" s="234">
        <v>2</v>
      </c>
      <c r="F254" s="234">
        <f t="shared" si="37"/>
        <v>2.25</v>
      </c>
      <c r="G254" s="235">
        <v>1</v>
      </c>
      <c r="H254" s="234">
        <v>0.125</v>
      </c>
      <c r="I254" s="234">
        <v>9.5</v>
      </c>
      <c r="J254" s="236">
        <f t="shared" si="38"/>
        <v>1.3157894736842105E-2</v>
      </c>
      <c r="K254" s="237">
        <f t="shared" si="36"/>
        <v>4.0618421052631566E-5</v>
      </c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</row>
    <row r="255" spans="1:82">
      <c r="A255" s="204">
        <v>2</v>
      </c>
      <c r="B255" s="205">
        <v>10.5</v>
      </c>
      <c r="C255" s="205">
        <v>21</v>
      </c>
      <c r="D255" s="205">
        <v>2.5</v>
      </c>
      <c r="E255" s="205">
        <v>2</v>
      </c>
      <c r="F255" s="205">
        <f t="shared" si="37"/>
        <v>2.25</v>
      </c>
      <c r="G255" s="206">
        <v>2</v>
      </c>
      <c r="H255" s="205">
        <v>0.155</v>
      </c>
      <c r="I255" s="205">
        <v>9.9</v>
      </c>
      <c r="J255" s="238">
        <f t="shared" si="38"/>
        <v>1.5656565656565657E-2</v>
      </c>
      <c r="K255" s="239">
        <f t="shared" si="36"/>
        <v>4.8331818181818176E-5</v>
      </c>
    </row>
    <row r="256" spans="1:82">
      <c r="A256" s="204">
        <v>2</v>
      </c>
      <c r="B256" s="205">
        <v>10.5</v>
      </c>
      <c r="C256" s="205">
        <v>21</v>
      </c>
      <c r="D256" s="205">
        <v>2.5</v>
      </c>
      <c r="E256" s="205">
        <v>2</v>
      </c>
      <c r="F256" s="205">
        <f t="shared" si="37"/>
        <v>2.25</v>
      </c>
      <c r="G256" s="206">
        <v>3</v>
      </c>
      <c r="H256" s="205">
        <v>0.10199999999999999</v>
      </c>
      <c r="I256" s="205">
        <v>10.199999999999999</v>
      </c>
      <c r="J256" s="238">
        <f t="shared" si="38"/>
        <v>0.01</v>
      </c>
      <c r="K256" s="239">
        <f t="shared" si="36"/>
        <v>3.0869999999999994E-5</v>
      </c>
    </row>
    <row r="257" spans="1:11" ht="15.75" thickBot="1">
      <c r="A257" s="210">
        <v>2</v>
      </c>
      <c r="B257" s="211">
        <v>10.5</v>
      </c>
      <c r="C257" s="211">
        <v>21</v>
      </c>
      <c r="D257" s="211">
        <v>2.5</v>
      </c>
      <c r="E257" s="211">
        <v>2</v>
      </c>
      <c r="F257" s="211">
        <f t="shared" si="37"/>
        <v>2.25</v>
      </c>
      <c r="G257" s="212">
        <v>4</v>
      </c>
      <c r="H257" s="211">
        <v>0.108</v>
      </c>
      <c r="I257" s="211">
        <v>11.3</v>
      </c>
      <c r="J257" s="240">
        <f t="shared" si="38"/>
        <v>9.5575221238938038E-3</v>
      </c>
      <c r="K257" s="241">
        <f t="shared" si="36"/>
        <v>2.950407079646017E-5</v>
      </c>
    </row>
    <row r="258" spans="1:11">
      <c r="A258" s="242">
        <v>3</v>
      </c>
      <c r="B258" s="243">
        <v>12</v>
      </c>
      <c r="C258" s="243">
        <v>15</v>
      </c>
      <c r="D258" s="243">
        <v>2.5</v>
      </c>
      <c r="E258" s="243">
        <v>2</v>
      </c>
      <c r="F258" s="243">
        <f t="shared" si="37"/>
        <v>2.25</v>
      </c>
      <c r="G258" s="244">
        <v>1</v>
      </c>
      <c r="H258" s="243">
        <v>0.14099999999999999</v>
      </c>
      <c r="I258" s="243">
        <v>12.9</v>
      </c>
      <c r="J258" s="245">
        <f t="shared" si="38"/>
        <v>1.0930232558139534E-2</v>
      </c>
      <c r="K258" s="246">
        <f t="shared" si="36"/>
        <v>1.2296511627906976E-5</v>
      </c>
    </row>
    <row r="259" spans="1:11">
      <c r="A259" s="223">
        <v>3</v>
      </c>
      <c r="B259" s="224">
        <v>12</v>
      </c>
      <c r="C259" s="224">
        <v>15</v>
      </c>
      <c r="D259" s="224">
        <v>2.5</v>
      </c>
      <c r="E259" s="224">
        <v>2</v>
      </c>
      <c r="F259" s="224">
        <f t="shared" si="37"/>
        <v>2.25</v>
      </c>
      <c r="G259" s="225">
        <v>2</v>
      </c>
      <c r="H259" s="224">
        <v>0.13400000000000001</v>
      </c>
      <c r="I259" s="224">
        <v>12.5</v>
      </c>
      <c r="J259" s="226">
        <f t="shared" si="38"/>
        <v>1.072E-2</v>
      </c>
      <c r="K259" s="227">
        <f t="shared" si="36"/>
        <v>1.2060000000000001E-5</v>
      </c>
    </row>
    <row r="260" spans="1:11">
      <c r="A260" s="223">
        <v>3</v>
      </c>
      <c r="B260" s="224">
        <v>12</v>
      </c>
      <c r="C260" s="224">
        <v>15</v>
      </c>
      <c r="D260" s="224">
        <v>2.5</v>
      </c>
      <c r="E260" s="224">
        <v>2</v>
      </c>
      <c r="F260" s="224">
        <f t="shared" si="37"/>
        <v>2.25</v>
      </c>
      <c r="G260" s="225">
        <v>3</v>
      </c>
      <c r="H260" s="224">
        <v>0.10199999999999999</v>
      </c>
      <c r="I260" s="224">
        <v>13.8</v>
      </c>
      <c r="J260" s="226">
        <f t="shared" si="38"/>
        <v>7.3913043478260861E-3</v>
      </c>
      <c r="K260" s="227">
        <f t="shared" si="36"/>
        <v>8.3152173913043471E-6</v>
      </c>
    </row>
    <row r="261" spans="1:11" ht="15.75" thickBot="1">
      <c r="A261" s="228">
        <v>3</v>
      </c>
      <c r="B261" s="229">
        <v>12</v>
      </c>
      <c r="C261" s="229">
        <v>15</v>
      </c>
      <c r="D261" s="229">
        <v>2.5</v>
      </c>
      <c r="E261" s="229">
        <v>2</v>
      </c>
      <c r="F261" s="229">
        <f t="shared" si="37"/>
        <v>2.25</v>
      </c>
      <c r="G261" s="230">
        <v>4</v>
      </c>
      <c r="H261" s="229">
        <v>8.3000000000000004E-2</v>
      </c>
      <c r="I261" s="229">
        <v>12.9</v>
      </c>
      <c r="J261" s="231">
        <f t="shared" si="38"/>
        <v>6.4341085271317827E-3</v>
      </c>
      <c r="K261" s="232">
        <f t="shared" si="36"/>
        <v>7.2383720930232548E-6</v>
      </c>
    </row>
    <row r="262" spans="1:11">
      <c r="A262" s="233">
        <v>4</v>
      </c>
      <c r="B262" s="234">
        <v>11.5</v>
      </c>
      <c r="C262" s="234">
        <v>23</v>
      </c>
      <c r="D262" s="234">
        <v>3</v>
      </c>
      <c r="E262" s="234">
        <v>2</v>
      </c>
      <c r="F262" s="234">
        <f t="shared" si="37"/>
        <v>2.5</v>
      </c>
      <c r="G262" s="235">
        <v>1</v>
      </c>
      <c r="H262" s="234">
        <v>0.106</v>
      </c>
      <c r="I262" s="234">
        <v>8.6999999999999993</v>
      </c>
      <c r="J262" s="236">
        <f t="shared" si="38"/>
        <v>1.2183908045977012E-2</v>
      </c>
      <c r="K262" s="237">
        <f t="shared" si="36"/>
        <v>4.9413869731800769E-5</v>
      </c>
    </row>
    <row r="263" spans="1:11">
      <c r="A263" s="204">
        <v>4</v>
      </c>
      <c r="B263" s="205">
        <v>11.5</v>
      </c>
      <c r="C263" s="205">
        <v>23</v>
      </c>
      <c r="D263" s="205">
        <v>3</v>
      </c>
      <c r="E263" s="205">
        <v>2</v>
      </c>
      <c r="F263" s="205">
        <f t="shared" si="37"/>
        <v>2.5</v>
      </c>
      <c r="G263" s="206">
        <v>2</v>
      </c>
      <c r="H263" s="205">
        <v>0.105</v>
      </c>
      <c r="I263" s="205">
        <v>9.9</v>
      </c>
      <c r="J263" s="238">
        <f t="shared" si="38"/>
        <v>1.0606060606060605E-2</v>
      </c>
      <c r="K263" s="239">
        <f t="shared" si="36"/>
        <v>4.3014646464646461E-5</v>
      </c>
    </row>
    <row r="264" spans="1:11">
      <c r="A264" s="204">
        <v>4</v>
      </c>
      <c r="B264" s="205">
        <v>11.5</v>
      </c>
      <c r="C264" s="205">
        <v>23</v>
      </c>
      <c r="D264" s="205">
        <v>3</v>
      </c>
      <c r="E264" s="205">
        <v>2</v>
      </c>
      <c r="F264" s="205">
        <f t="shared" si="37"/>
        <v>2.5</v>
      </c>
      <c r="G264" s="206">
        <v>3</v>
      </c>
      <c r="H264" s="205">
        <v>0.1</v>
      </c>
      <c r="I264" s="205">
        <v>10.1</v>
      </c>
      <c r="J264" s="238">
        <f t="shared" si="38"/>
        <v>9.9009900990099011E-3</v>
      </c>
      <c r="K264" s="239">
        <f t="shared" si="36"/>
        <v>4.0155115511551161E-5</v>
      </c>
    </row>
    <row r="265" spans="1:11" ht="15.75" thickBot="1">
      <c r="A265" s="210">
        <v>4</v>
      </c>
      <c r="B265" s="211">
        <v>11.5</v>
      </c>
      <c r="C265" s="211">
        <v>23</v>
      </c>
      <c r="D265" s="211">
        <v>3</v>
      </c>
      <c r="E265" s="211">
        <v>2</v>
      </c>
      <c r="F265" s="211">
        <f t="shared" si="37"/>
        <v>2.5</v>
      </c>
      <c r="G265" s="212">
        <v>4</v>
      </c>
      <c r="H265" s="211">
        <v>0.13200000000000001</v>
      </c>
      <c r="I265" s="211">
        <v>11.1</v>
      </c>
      <c r="J265" s="240">
        <f t="shared" si="38"/>
        <v>1.1891891891891894E-2</v>
      </c>
      <c r="K265" s="241">
        <f t="shared" si="36"/>
        <v>4.8229549549549559E-5</v>
      </c>
    </row>
    <row r="266" spans="1:11">
      <c r="A266" s="242">
        <v>5</v>
      </c>
      <c r="B266" s="243">
        <v>12</v>
      </c>
      <c r="C266" s="243">
        <v>21</v>
      </c>
      <c r="D266" s="243">
        <v>2</v>
      </c>
      <c r="E266" s="243">
        <v>1.5</v>
      </c>
      <c r="F266" s="243">
        <f t="shared" si="37"/>
        <v>1.75</v>
      </c>
      <c r="G266" s="244">
        <v>1</v>
      </c>
      <c r="H266" s="243">
        <v>9.5000000000000001E-2</v>
      </c>
      <c r="I266" s="243">
        <v>7.6</v>
      </c>
      <c r="J266" s="245">
        <f t="shared" si="38"/>
        <v>1.2500000000000001E-2</v>
      </c>
      <c r="K266" s="246">
        <f t="shared" si="36"/>
        <v>3.8587499999999996E-5</v>
      </c>
    </row>
    <row r="267" spans="1:11">
      <c r="A267" s="223">
        <v>5</v>
      </c>
      <c r="B267" s="224">
        <v>12</v>
      </c>
      <c r="C267" s="224">
        <v>21</v>
      </c>
      <c r="D267" s="224">
        <v>2</v>
      </c>
      <c r="E267" s="224">
        <v>1.5</v>
      </c>
      <c r="F267" s="224">
        <f t="shared" si="37"/>
        <v>1.75</v>
      </c>
      <c r="G267" s="225">
        <v>2</v>
      </c>
      <c r="H267" s="224">
        <v>6.0999999999999999E-2</v>
      </c>
      <c r="I267" s="224">
        <v>7.8</v>
      </c>
      <c r="J267" s="226">
        <f t="shared" si="38"/>
        <v>7.8205128205128208E-3</v>
      </c>
      <c r="K267" s="227">
        <f t="shared" si="36"/>
        <v>2.4141923076923073E-5</v>
      </c>
    </row>
    <row r="268" spans="1:11">
      <c r="A268" s="223">
        <v>5</v>
      </c>
      <c r="B268" s="224">
        <v>12</v>
      </c>
      <c r="C268" s="224">
        <v>21</v>
      </c>
      <c r="D268" s="224">
        <v>2</v>
      </c>
      <c r="E268" s="224">
        <v>1.5</v>
      </c>
      <c r="F268" s="224">
        <f t="shared" si="37"/>
        <v>1.75</v>
      </c>
      <c r="G268" s="225">
        <v>3</v>
      </c>
      <c r="H268" s="224">
        <v>0.06</v>
      </c>
      <c r="I268" s="224">
        <v>7.9</v>
      </c>
      <c r="J268" s="226">
        <f t="shared" si="38"/>
        <v>7.5949367088607592E-3</v>
      </c>
      <c r="K268" s="227">
        <f t="shared" si="36"/>
        <v>2.344556962025316E-5</v>
      </c>
    </row>
    <row r="269" spans="1:11" ht="15.75" thickBot="1">
      <c r="A269" s="228">
        <v>5</v>
      </c>
      <c r="B269" s="229">
        <v>12</v>
      </c>
      <c r="C269" s="229">
        <v>21</v>
      </c>
      <c r="D269" s="229">
        <v>2</v>
      </c>
      <c r="E269" s="229">
        <v>1.5</v>
      </c>
      <c r="F269" s="229">
        <f t="shared" si="37"/>
        <v>1.75</v>
      </c>
      <c r="G269" s="230">
        <v>4</v>
      </c>
      <c r="H269" s="229">
        <v>5.8999999999999997E-2</v>
      </c>
      <c r="I269" s="229">
        <v>8.9</v>
      </c>
      <c r="J269" s="231">
        <f t="shared" si="38"/>
        <v>6.6292134831460667E-3</v>
      </c>
      <c r="K269" s="232">
        <f t="shared" si="36"/>
        <v>2.0464382022471907E-5</v>
      </c>
    </row>
    <row r="270" spans="1:11">
      <c r="A270" s="233">
        <v>6</v>
      </c>
      <c r="B270" s="234">
        <v>12.5</v>
      </c>
      <c r="C270" s="234">
        <v>26</v>
      </c>
      <c r="D270" s="234">
        <v>3</v>
      </c>
      <c r="E270" s="234">
        <v>2</v>
      </c>
      <c r="F270" s="234">
        <f t="shared" si="37"/>
        <v>2.5</v>
      </c>
      <c r="G270" s="235">
        <v>1</v>
      </c>
      <c r="H270" s="234">
        <v>5.6000000000000001E-2</v>
      </c>
      <c r="I270" s="234">
        <v>9.1999999999999993</v>
      </c>
      <c r="J270" s="236">
        <f t="shared" si="38"/>
        <v>6.0869565217391312E-3</v>
      </c>
      <c r="K270" s="237">
        <f t="shared" si="36"/>
        <v>3.5661449275362325E-5</v>
      </c>
    </row>
    <row r="271" spans="1:11">
      <c r="A271" s="204">
        <v>6</v>
      </c>
      <c r="B271" s="205">
        <v>12.5</v>
      </c>
      <c r="C271" s="205">
        <v>26</v>
      </c>
      <c r="D271" s="205">
        <v>3</v>
      </c>
      <c r="E271" s="205">
        <v>2</v>
      </c>
      <c r="F271" s="205">
        <f t="shared" si="37"/>
        <v>2.5</v>
      </c>
      <c r="G271" s="206">
        <v>2</v>
      </c>
      <c r="H271" s="205">
        <v>6.7000000000000004E-2</v>
      </c>
      <c r="I271" s="205">
        <v>10.6</v>
      </c>
      <c r="J271" s="238">
        <f t="shared" si="38"/>
        <v>6.3207547169811329E-3</v>
      </c>
      <c r="K271" s="239">
        <f t="shared" si="36"/>
        <v>3.7031194968553467E-5</v>
      </c>
    </row>
    <row r="272" spans="1:11">
      <c r="A272" s="204">
        <v>6</v>
      </c>
      <c r="B272" s="205">
        <v>12.5</v>
      </c>
      <c r="C272" s="205">
        <v>26</v>
      </c>
      <c r="D272" s="205">
        <v>3</v>
      </c>
      <c r="E272" s="205">
        <v>2</v>
      </c>
      <c r="F272" s="205">
        <f t="shared" si="37"/>
        <v>2.5</v>
      </c>
      <c r="G272" s="206">
        <v>3</v>
      </c>
      <c r="H272" s="205">
        <v>4.8000000000000001E-2</v>
      </c>
      <c r="I272" s="205">
        <v>10.7</v>
      </c>
      <c r="J272" s="238">
        <f t="shared" si="38"/>
        <v>4.485981308411215E-3</v>
      </c>
      <c r="K272" s="239">
        <f t="shared" si="36"/>
        <v>2.6281869158878507E-5</v>
      </c>
    </row>
    <row r="273" spans="1:11" ht="15.75" thickBot="1">
      <c r="A273" s="210">
        <v>6</v>
      </c>
      <c r="B273" s="211">
        <v>12.5</v>
      </c>
      <c r="C273" s="211">
        <v>26</v>
      </c>
      <c r="D273" s="211">
        <v>3</v>
      </c>
      <c r="E273" s="211">
        <v>2</v>
      </c>
      <c r="F273" s="211">
        <f t="shared" si="37"/>
        <v>2.5</v>
      </c>
      <c r="G273" s="212">
        <v>4</v>
      </c>
      <c r="H273" s="211">
        <v>5.1999999999999998E-2</v>
      </c>
      <c r="I273" s="211">
        <v>11.7</v>
      </c>
      <c r="J273" s="240">
        <f t="shared" si="38"/>
        <v>4.4444444444444444E-3</v>
      </c>
      <c r="K273" s="241">
        <f t="shared" si="36"/>
        <v>2.6038518518518521E-5</v>
      </c>
    </row>
    <row r="274" spans="1:11">
      <c r="A274" s="242">
        <v>7</v>
      </c>
      <c r="B274" s="243">
        <v>10.25</v>
      </c>
      <c r="C274" s="243">
        <v>20</v>
      </c>
      <c r="D274" s="243">
        <v>3</v>
      </c>
      <c r="E274" s="243">
        <v>2.5</v>
      </c>
      <c r="F274" s="243">
        <f t="shared" si="37"/>
        <v>2.75</v>
      </c>
      <c r="G274" s="244">
        <v>1</v>
      </c>
      <c r="H274" s="243">
        <v>0.18</v>
      </c>
      <c r="I274" s="243">
        <v>7.8</v>
      </c>
      <c r="J274" s="245">
        <f t="shared" si="38"/>
        <v>2.3076923076923078E-2</v>
      </c>
      <c r="K274" s="246">
        <f t="shared" si="36"/>
        <v>6.1538461538461549E-5</v>
      </c>
    </row>
    <row r="275" spans="1:11">
      <c r="A275" s="223">
        <v>7</v>
      </c>
      <c r="B275" s="224">
        <v>10.25</v>
      </c>
      <c r="C275" s="224">
        <v>20</v>
      </c>
      <c r="D275" s="224">
        <v>3</v>
      </c>
      <c r="E275" s="224">
        <v>2.5</v>
      </c>
      <c r="F275" s="224">
        <f t="shared" si="37"/>
        <v>2.75</v>
      </c>
      <c r="G275" s="225">
        <v>2</v>
      </c>
      <c r="H275" s="224">
        <v>0.11899999999999999</v>
      </c>
      <c r="I275" s="224">
        <v>7.1</v>
      </c>
      <c r="J275" s="226">
        <f t="shared" si="38"/>
        <v>1.6760563380281691E-2</v>
      </c>
      <c r="K275" s="227">
        <f t="shared" si="36"/>
        <v>4.4694835680751184E-5</v>
      </c>
    </row>
    <row r="276" spans="1:11">
      <c r="A276" s="223">
        <v>7</v>
      </c>
      <c r="B276" s="224">
        <v>10.25</v>
      </c>
      <c r="C276" s="224">
        <v>20</v>
      </c>
      <c r="D276" s="224">
        <v>3</v>
      </c>
      <c r="E276" s="224">
        <v>2.5</v>
      </c>
      <c r="F276" s="224">
        <f t="shared" si="37"/>
        <v>2.75</v>
      </c>
      <c r="G276" s="225">
        <v>3</v>
      </c>
      <c r="H276" s="224">
        <v>0.104</v>
      </c>
      <c r="I276" s="224">
        <v>8.1999999999999993</v>
      </c>
      <c r="J276" s="226">
        <f t="shared" si="38"/>
        <v>1.2682926829268294E-2</v>
      </c>
      <c r="K276" s="227">
        <f t="shared" si="36"/>
        <v>3.3821138211382125E-5</v>
      </c>
    </row>
    <row r="277" spans="1:11" ht="15.75" thickBot="1">
      <c r="A277" s="228">
        <v>7</v>
      </c>
      <c r="B277" s="229">
        <v>10.25</v>
      </c>
      <c r="C277" s="229">
        <v>20</v>
      </c>
      <c r="D277" s="229">
        <v>3</v>
      </c>
      <c r="E277" s="229">
        <v>2.5</v>
      </c>
      <c r="F277" s="229">
        <f t="shared" si="37"/>
        <v>2.75</v>
      </c>
      <c r="G277" s="230">
        <v>4</v>
      </c>
      <c r="H277" s="229">
        <v>0.129</v>
      </c>
      <c r="I277" s="229">
        <v>9.4</v>
      </c>
      <c r="J277" s="231">
        <f t="shared" si="38"/>
        <v>1.3723404255319149E-2</v>
      </c>
      <c r="K277" s="232">
        <f t="shared" si="36"/>
        <v>3.6595744680851073E-5</v>
      </c>
    </row>
    <row r="278" spans="1:11">
      <c r="A278" s="233">
        <v>8</v>
      </c>
      <c r="B278" s="234">
        <v>12</v>
      </c>
      <c r="C278" s="234">
        <v>16</v>
      </c>
      <c r="D278" s="234">
        <v>3</v>
      </c>
      <c r="E278" s="234">
        <v>2.5</v>
      </c>
      <c r="F278" s="234">
        <f t="shared" si="37"/>
        <v>2.75</v>
      </c>
      <c r="G278" s="235">
        <v>1</v>
      </c>
      <c r="H278" s="234">
        <v>3.9E-2</v>
      </c>
      <c r="I278" s="234">
        <v>6.1</v>
      </c>
      <c r="J278" s="236">
        <f t="shared" si="38"/>
        <v>6.3934426229508203E-3</v>
      </c>
      <c r="K278" s="237">
        <f t="shared" si="36"/>
        <v>8.7291803278688539E-6</v>
      </c>
    </row>
    <row r="279" spans="1:11">
      <c r="A279" s="204">
        <v>8</v>
      </c>
      <c r="B279" s="205">
        <v>12</v>
      </c>
      <c r="C279" s="205">
        <v>16</v>
      </c>
      <c r="D279" s="205">
        <v>3</v>
      </c>
      <c r="E279" s="205">
        <v>2.5</v>
      </c>
      <c r="F279" s="205">
        <f t="shared" si="37"/>
        <v>2.75</v>
      </c>
      <c r="G279" s="206">
        <v>2</v>
      </c>
      <c r="H279" s="205">
        <v>7.0000000000000007E-2</v>
      </c>
      <c r="I279" s="205">
        <v>6.6</v>
      </c>
      <c r="J279" s="238">
        <f t="shared" si="38"/>
        <v>1.0606060606060608E-2</v>
      </c>
      <c r="K279" s="239">
        <f t="shared" si="36"/>
        <v>1.4480808080808087E-5</v>
      </c>
    </row>
    <row r="280" spans="1:11">
      <c r="A280" s="204">
        <v>8</v>
      </c>
      <c r="B280" s="205">
        <v>12</v>
      </c>
      <c r="C280" s="205">
        <v>16</v>
      </c>
      <c r="D280" s="205">
        <v>3</v>
      </c>
      <c r="E280" s="205">
        <v>2.5</v>
      </c>
      <c r="F280" s="205">
        <f t="shared" si="37"/>
        <v>2.75</v>
      </c>
      <c r="G280" s="206">
        <v>3</v>
      </c>
      <c r="H280" s="205">
        <v>3.9E-2</v>
      </c>
      <c r="I280" s="205">
        <v>9.3000000000000007</v>
      </c>
      <c r="J280" s="238">
        <f t="shared" si="38"/>
        <v>4.193548387096774E-3</v>
      </c>
      <c r="K280" s="239">
        <f t="shared" si="36"/>
        <v>5.7255913978494638E-6</v>
      </c>
    </row>
    <row r="281" spans="1:11" ht="15.75" thickBot="1">
      <c r="A281" s="210">
        <v>8</v>
      </c>
      <c r="B281" s="211">
        <v>12</v>
      </c>
      <c r="C281" s="211">
        <v>16</v>
      </c>
      <c r="D281" s="211">
        <v>3</v>
      </c>
      <c r="E281" s="211">
        <v>2.5</v>
      </c>
      <c r="F281" s="211">
        <f t="shared" si="37"/>
        <v>2.75</v>
      </c>
      <c r="G281" s="212">
        <v>4</v>
      </c>
      <c r="H281" s="211">
        <v>8.3000000000000004E-2</v>
      </c>
      <c r="I281" s="211">
        <v>8</v>
      </c>
      <c r="J281" s="240">
        <f t="shared" si="38"/>
        <v>1.0375000000000001E-2</v>
      </c>
      <c r="K281" s="241">
        <f t="shared" si="36"/>
        <v>1.4165333333333337E-5</v>
      </c>
    </row>
  </sheetData>
  <mergeCells count="18">
    <mergeCell ref="AF6:AZ6"/>
    <mergeCell ref="BJ6:CD6"/>
    <mergeCell ref="AF7:AZ7"/>
    <mergeCell ref="BJ7:CD7"/>
    <mergeCell ref="AF8:AH8"/>
    <mergeCell ref="AI8:AK8"/>
    <mergeCell ref="AL8:AN8"/>
    <mergeCell ref="AO8:AQ8"/>
    <mergeCell ref="AR8:AT8"/>
    <mergeCell ref="AU8:AW8"/>
    <mergeCell ref="BY8:CA8"/>
    <mergeCell ref="CB8:CD8"/>
    <mergeCell ref="AX8:AZ8"/>
    <mergeCell ref="BJ8:BL8"/>
    <mergeCell ref="BM8:BO8"/>
    <mergeCell ref="BP8:BR8"/>
    <mergeCell ref="BS8:BU8"/>
    <mergeCell ref="BV8:BX8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workbookViewId="0">
      <selection activeCell="A4" sqref="A4"/>
    </sheetView>
  </sheetViews>
  <sheetFormatPr defaultColWidth="8.85546875" defaultRowHeight="15"/>
  <cols>
    <col min="1" max="1" width="21.7109375" bestFit="1" customWidth="1"/>
    <col min="3" max="3" width="21.85546875" customWidth="1"/>
    <col min="4" max="4" width="21.42578125" customWidth="1"/>
    <col min="7" max="7" width="10.42578125" customWidth="1"/>
    <col min="8" max="8" width="10.28515625" bestFit="1" customWidth="1"/>
    <col min="9" max="9" width="10.7109375" bestFit="1" customWidth="1"/>
    <col min="10" max="11" width="13.28515625" bestFit="1" customWidth="1"/>
    <col min="12" max="12" width="14.85546875" bestFit="1" customWidth="1"/>
    <col min="13" max="13" width="15" bestFit="1" customWidth="1"/>
    <col min="14" max="14" width="14.7109375" bestFit="1" customWidth="1"/>
    <col min="15" max="15" width="13.42578125" bestFit="1" customWidth="1"/>
    <col min="16" max="16" width="16.85546875" bestFit="1" customWidth="1"/>
    <col min="17" max="17" width="16.42578125" bestFit="1" customWidth="1"/>
    <col min="18" max="18" width="11" bestFit="1" customWidth="1"/>
    <col min="19" max="19" width="11.42578125" bestFit="1" customWidth="1"/>
    <col min="20" max="20" width="14.140625" bestFit="1" customWidth="1"/>
    <col min="21" max="21" width="13.5703125" bestFit="1" customWidth="1"/>
    <col min="25" max="25" width="21" bestFit="1" customWidth="1"/>
    <col min="26" max="26" width="15" bestFit="1" customWidth="1"/>
    <col min="31" max="31" width="16.28515625" bestFit="1" customWidth="1"/>
    <col min="33" max="33" width="25.140625" bestFit="1" customWidth="1"/>
    <col min="34" max="34" width="10.5703125" bestFit="1" customWidth="1"/>
    <col min="35" max="35" width="9.42578125" customWidth="1"/>
  </cols>
  <sheetData>
    <row r="1" spans="1:26">
      <c r="A1" t="s">
        <v>372</v>
      </c>
    </row>
    <row r="2" spans="1:26">
      <c r="A2" t="s">
        <v>373</v>
      </c>
    </row>
    <row r="3" spans="1:26">
      <c r="A3" s="265">
        <v>42186</v>
      </c>
    </row>
    <row r="5" spans="1:26" ht="18">
      <c r="A5" s="13" t="s">
        <v>233</v>
      </c>
      <c r="B5" s="3">
        <v>3</v>
      </c>
      <c r="C5" t="s">
        <v>234</v>
      </c>
      <c r="F5" s="155"/>
      <c r="G5" s="23"/>
      <c r="Z5" s="153"/>
    </row>
    <row r="6" spans="1:26" ht="18">
      <c r="A6" s="13" t="s">
        <v>235</v>
      </c>
      <c r="B6" s="3">
        <f>1/2</f>
        <v>0.5</v>
      </c>
      <c r="C6" t="s">
        <v>236</v>
      </c>
      <c r="F6" s="258"/>
      <c r="G6" s="134"/>
      <c r="Z6" s="153"/>
    </row>
    <row r="7" spans="1:26" ht="18">
      <c r="A7" s="13" t="s">
        <v>237</v>
      </c>
      <c r="B7" s="3">
        <f>0.260938</f>
        <v>0.260938</v>
      </c>
      <c r="C7" t="s">
        <v>238</v>
      </c>
      <c r="F7" s="258"/>
      <c r="G7" s="134"/>
      <c r="Z7" s="153"/>
    </row>
    <row r="8" spans="1:26" ht="18">
      <c r="A8" s="13" t="s">
        <v>239</v>
      </c>
      <c r="B8" s="3">
        <v>2.5000000000000001E-2</v>
      </c>
      <c r="C8" t="s">
        <v>240</v>
      </c>
      <c r="Z8" s="153"/>
    </row>
    <row r="9" spans="1:26" ht="18">
      <c r="A9" s="13" t="s">
        <v>241</v>
      </c>
      <c r="B9" s="3">
        <v>0.15</v>
      </c>
      <c r="Z9" s="153"/>
    </row>
    <row r="10" spans="1:26" ht="18">
      <c r="A10" s="13" t="s">
        <v>242</v>
      </c>
      <c r="B10" s="3">
        <v>106.8</v>
      </c>
      <c r="C10" t="s">
        <v>243</v>
      </c>
      <c r="G10" s="4"/>
      <c r="H10" s="154">
        <v>0.05</v>
      </c>
      <c r="I10" s="154">
        <v>0.95</v>
      </c>
      <c r="Z10" s="153"/>
    </row>
    <row r="11" spans="1:26" ht="18">
      <c r="A11" s="13" t="s">
        <v>244</v>
      </c>
      <c r="B11" s="3" t="s">
        <v>245</v>
      </c>
      <c r="C11" t="s">
        <v>246</v>
      </c>
      <c r="G11" s="20" t="s">
        <v>247</v>
      </c>
      <c r="H11" s="3">
        <v>1.9796</v>
      </c>
      <c r="I11" s="3">
        <v>9.7978000000000005</v>
      </c>
      <c r="Z11" s="153"/>
    </row>
    <row r="12" spans="1:26" ht="18.75">
      <c r="A12" s="13" t="s">
        <v>248</v>
      </c>
      <c r="B12" s="3">
        <v>3.015E-2</v>
      </c>
      <c r="C12" t="s">
        <v>249</v>
      </c>
      <c r="G12" s="20" t="s">
        <v>250</v>
      </c>
      <c r="H12" s="3">
        <v>8.3999999999999995E-3</v>
      </c>
      <c r="I12" s="3">
        <v>6.7000000000000004E-2</v>
      </c>
      <c r="M12" s="155"/>
      <c r="N12" s="23"/>
      <c r="Z12" s="153"/>
    </row>
    <row r="13" spans="1:26" ht="18">
      <c r="A13" s="13" t="s">
        <v>251</v>
      </c>
      <c r="B13" s="3">
        <v>5.8</v>
      </c>
      <c r="G13" s="20" t="s">
        <v>252</v>
      </c>
      <c r="H13" s="3">
        <v>0.214</v>
      </c>
      <c r="I13" s="3">
        <v>1.0236000000000001</v>
      </c>
      <c r="K13" s="23"/>
      <c r="M13" s="22"/>
      <c r="N13" s="156"/>
      <c r="Z13" s="153"/>
    </row>
    <row r="14" spans="1:26">
      <c r="B14" s="19"/>
      <c r="G14" s="20" t="s">
        <v>253</v>
      </c>
      <c r="H14" s="3">
        <v>43.052999999999997</v>
      </c>
      <c r="I14" s="3">
        <v>167.89400000000001</v>
      </c>
      <c r="K14" s="156"/>
      <c r="M14" s="22"/>
      <c r="N14" s="157"/>
    </row>
    <row r="15" spans="1:26">
      <c r="K15" s="158"/>
      <c r="M15" s="22"/>
      <c r="N15" s="158"/>
    </row>
    <row r="16" spans="1:26" ht="15.75" thickBot="1">
      <c r="A16" s="159" t="s">
        <v>254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</row>
    <row r="17" spans="1:21" ht="19.5" thickBot="1">
      <c r="A17" s="160" t="s">
        <v>255</v>
      </c>
      <c r="B17" s="161" t="s">
        <v>256</v>
      </c>
      <c r="C17" s="161" t="s">
        <v>257</v>
      </c>
      <c r="D17" s="161" t="s">
        <v>258</v>
      </c>
      <c r="E17" s="161" t="s">
        <v>259</v>
      </c>
      <c r="F17" s="161" t="s">
        <v>260</v>
      </c>
      <c r="G17" s="161" t="s">
        <v>261</v>
      </c>
      <c r="H17" s="161" t="s">
        <v>262</v>
      </c>
      <c r="I17" s="161" t="s">
        <v>263</v>
      </c>
      <c r="J17" s="161" t="s">
        <v>264</v>
      </c>
      <c r="K17" s="161" t="s">
        <v>265</v>
      </c>
      <c r="L17" s="161" t="s">
        <v>266</v>
      </c>
      <c r="M17" s="161" t="s">
        <v>267</v>
      </c>
      <c r="N17" s="161" t="s">
        <v>268</v>
      </c>
      <c r="O17" s="162" t="s">
        <v>269</v>
      </c>
      <c r="P17" s="161" t="s">
        <v>270</v>
      </c>
      <c r="Q17" s="163" t="s">
        <v>271</v>
      </c>
      <c r="R17" s="163" t="s">
        <v>272</v>
      </c>
      <c r="S17" s="163" t="s">
        <v>273</v>
      </c>
      <c r="T17" s="164" t="s">
        <v>274</v>
      </c>
      <c r="U17" s="164" t="s">
        <v>275</v>
      </c>
    </row>
    <row r="18" spans="1:21">
      <c r="A18" s="118" t="s">
        <v>276</v>
      </c>
      <c r="B18" s="165">
        <f>CONVERT(0.028,"in","cm")</f>
        <v>7.1120000000000003E-2</v>
      </c>
      <c r="C18" s="165">
        <f t="shared" ref="C18:C61" si="0">$B$7/B18</f>
        <v>3.6689820022497188</v>
      </c>
      <c r="D18" s="165">
        <f>1/C18</f>
        <v>0.27255516636135785</v>
      </c>
      <c r="E18" s="166" t="s">
        <v>30</v>
      </c>
      <c r="F18" s="166" t="s">
        <v>30</v>
      </c>
      <c r="G18" s="166" t="s">
        <v>30</v>
      </c>
      <c r="H18" s="166" t="s">
        <v>30</v>
      </c>
      <c r="I18" s="167">
        <f>L18*10^9*PI()*(CONVERT(B18,"cm","m"))^4/64</f>
        <v>5.6513135571272256E-6</v>
      </c>
      <c r="J18" s="168">
        <f t="shared" ref="J18:J61" si="1">D18^5*$H$12</f>
        <v>1.2634305649570693E-5</v>
      </c>
      <c r="K18" s="168">
        <f t="shared" ref="K18:K61" si="2">D18^5*$I$12</f>
        <v>1.0077362839538531E-4</v>
      </c>
      <c r="L18" s="165">
        <v>0.45</v>
      </c>
      <c r="M18" s="165">
        <f t="shared" ref="M18:M61" si="3">D18*$H$11</f>
        <v>0.53955020732894399</v>
      </c>
      <c r="N18" s="165">
        <f t="shared" ref="N18:N61" si="4">D18*$I$11</f>
        <v>2.6704410089753119</v>
      </c>
      <c r="O18" s="166" t="s">
        <v>30</v>
      </c>
      <c r="P18" s="166" t="s">
        <v>30</v>
      </c>
      <c r="Q18" s="166" t="s">
        <v>30</v>
      </c>
      <c r="R18" s="169">
        <v>3</v>
      </c>
      <c r="S18" s="169">
        <v>38.1</v>
      </c>
      <c r="T18" s="169">
        <f>D18*$H$14</f>
        <v>11.734317577355538</v>
      </c>
      <c r="U18" s="169">
        <f>D18*$I$14</f>
        <v>45.760377101073814</v>
      </c>
    </row>
    <row r="19" spans="1:21">
      <c r="A19" s="118" t="s">
        <v>277</v>
      </c>
      <c r="B19" s="165">
        <f>CONVERT(3/32,"in","cm")</f>
        <v>0.238125</v>
      </c>
      <c r="C19" s="170">
        <f>$B$7/B19</f>
        <v>1.0958026246719159</v>
      </c>
      <c r="D19" s="170">
        <f>1/C19</f>
        <v>0.91257310165633221</v>
      </c>
      <c r="E19" s="83" t="s">
        <v>30</v>
      </c>
      <c r="F19" s="83" t="s">
        <v>30</v>
      </c>
      <c r="G19" s="83" t="s">
        <v>30</v>
      </c>
      <c r="H19" s="83" t="s">
        <v>30</v>
      </c>
      <c r="I19" s="167">
        <f>L19*10^9*PI()*(CONVERT(B19,"cm","m"))^4/64</f>
        <v>4.8927335405690329E-3</v>
      </c>
      <c r="J19" s="168">
        <f>D19^5*$H$12</f>
        <v>5.3163994504652253E-3</v>
      </c>
      <c r="K19" s="168">
        <f>D19^5*$I$12</f>
        <v>4.2404614664425015E-2</v>
      </c>
      <c r="L19" s="171">
        <v>3.1</v>
      </c>
      <c r="M19" s="171">
        <f>D19*$H$11</f>
        <v>1.8065297120388752</v>
      </c>
      <c r="N19" s="171">
        <f>D19*$I$11</f>
        <v>8.9412087354084129</v>
      </c>
      <c r="O19" s="83" t="s">
        <v>30</v>
      </c>
      <c r="P19" s="83" t="s">
        <v>30</v>
      </c>
      <c r="Q19" s="83" t="s">
        <v>30</v>
      </c>
      <c r="R19" s="170">
        <v>3</v>
      </c>
      <c r="S19" s="170">
        <v>38.1</v>
      </c>
      <c r="T19" s="170">
        <f>D19*$H$14</f>
        <v>39.289009745610066</v>
      </c>
      <c r="U19" s="170">
        <f>D19*$I$14</f>
        <v>153.21554832948826</v>
      </c>
    </row>
    <row r="20" spans="1:21">
      <c r="A20" s="82" t="s">
        <v>278</v>
      </c>
      <c r="B20" s="170">
        <f>CONVERT(1/16,"in","cm")</f>
        <v>0.15875</v>
      </c>
      <c r="C20" s="170">
        <f t="shared" si="0"/>
        <v>1.6437039370078741</v>
      </c>
      <c r="D20" s="170">
        <f t="shared" ref="D20:D61" si="5">1/C20</f>
        <v>0.6083820677708881</v>
      </c>
      <c r="E20" s="83" t="s">
        <v>30</v>
      </c>
      <c r="F20" s="83" t="s">
        <v>30</v>
      </c>
      <c r="G20" s="83" t="s">
        <v>30</v>
      </c>
      <c r="H20" s="83" t="s">
        <v>30</v>
      </c>
      <c r="I20" s="172">
        <f>L20*10^9*PI()*(CONVERT(B20,"cm","m"))^4/64</f>
        <v>4.9882110170675921E-4</v>
      </c>
      <c r="J20" s="173">
        <f t="shared" si="1"/>
        <v>7.0010198524644927E-4</v>
      </c>
      <c r="K20" s="173">
        <f t="shared" si="2"/>
        <v>5.584146787084774E-3</v>
      </c>
      <c r="L20" s="174">
        <v>1.6</v>
      </c>
      <c r="M20" s="174">
        <f t="shared" si="3"/>
        <v>1.2043531413592501</v>
      </c>
      <c r="N20" s="174">
        <f t="shared" si="4"/>
        <v>5.9608058236056074</v>
      </c>
      <c r="O20" s="83" t="s">
        <v>30</v>
      </c>
      <c r="P20" s="83" t="s">
        <v>30</v>
      </c>
      <c r="Q20" s="83" t="s">
        <v>30</v>
      </c>
      <c r="R20" s="169">
        <v>3</v>
      </c>
      <c r="S20" s="169">
        <v>38.1</v>
      </c>
      <c r="T20" s="169">
        <f t="shared" ref="T20:T61" si="6">D20*$H$14</f>
        <v>26.192673163740043</v>
      </c>
      <c r="U20" s="169">
        <f t="shared" ref="U20:U61" si="7">D20*$I$14</f>
        <v>102.1436988863255</v>
      </c>
    </row>
    <row r="21" spans="1:21">
      <c r="A21" s="82" t="s">
        <v>279</v>
      </c>
      <c r="B21" s="170">
        <f>CONVERT(0.06,"in","cm")</f>
        <v>0.15240000000000001</v>
      </c>
      <c r="C21" s="170">
        <f t="shared" si="0"/>
        <v>1.7121916010498688</v>
      </c>
      <c r="D21" s="170">
        <f t="shared" si="5"/>
        <v>0.58404678506005259</v>
      </c>
      <c r="E21" s="83" t="s">
        <v>30</v>
      </c>
      <c r="F21" s="83" t="s">
        <v>30</v>
      </c>
      <c r="G21" s="83" t="s">
        <v>30</v>
      </c>
      <c r="H21" s="83" t="s">
        <v>30</v>
      </c>
      <c r="I21" s="172">
        <f>L21*10^9*PI()*((CONVERT(B21,"cm","m"))^4-(CONVERT(0.02,"in","m"))^4)/64</f>
        <v>3.9228887665745012E-6</v>
      </c>
      <c r="J21" s="173">
        <f t="shared" si="1"/>
        <v>5.7084404430551264E-4</v>
      </c>
      <c r="K21" s="173">
        <f t="shared" si="2"/>
        <v>4.5531608295796841E-3</v>
      </c>
      <c r="L21" s="170">
        <v>1.4999999999999999E-2</v>
      </c>
      <c r="M21" s="170">
        <f t="shared" si="3"/>
        <v>1.1561790157048801</v>
      </c>
      <c r="N21" s="170">
        <f t="shared" si="4"/>
        <v>5.722373590661384</v>
      </c>
      <c r="O21" s="83" t="s">
        <v>30</v>
      </c>
      <c r="P21" s="83" t="s">
        <v>30</v>
      </c>
      <c r="Q21" s="83" t="s">
        <v>30</v>
      </c>
      <c r="R21" s="169">
        <v>3</v>
      </c>
      <c r="S21" s="169">
        <v>38.1</v>
      </c>
      <c r="T21" s="169">
        <f t="shared" si="6"/>
        <v>25.144966237190442</v>
      </c>
      <c r="U21" s="169">
        <f t="shared" si="7"/>
        <v>98.057950930872465</v>
      </c>
    </row>
    <row r="22" spans="1:21">
      <c r="A22" s="82" t="s">
        <v>280</v>
      </c>
      <c r="B22" s="175">
        <f>CONVERT(1/16,"in","cm")</f>
        <v>0.15875</v>
      </c>
      <c r="C22" s="170">
        <f t="shared" si="0"/>
        <v>1.6437039370078741</v>
      </c>
      <c r="D22" s="170">
        <f t="shared" si="5"/>
        <v>0.6083820677708881</v>
      </c>
      <c r="E22" s="83" t="s">
        <v>30</v>
      </c>
      <c r="F22" s="83" t="s">
        <v>30</v>
      </c>
      <c r="G22" s="83" t="s">
        <v>30</v>
      </c>
      <c r="H22" s="83" t="s">
        <v>30</v>
      </c>
      <c r="I22" s="176">
        <f>L22*10^9*PI()*(CONVERT(B22,"cm","m"))^4/64</f>
        <v>9.9764220341351842E-4</v>
      </c>
      <c r="J22" s="177">
        <f t="shared" si="1"/>
        <v>7.0010198524644927E-4</v>
      </c>
      <c r="K22" s="177">
        <f t="shared" si="2"/>
        <v>5.584146787084774E-3</v>
      </c>
      <c r="L22" s="178">
        <v>3.2</v>
      </c>
      <c r="M22" s="178">
        <f t="shared" si="3"/>
        <v>1.2043531413592501</v>
      </c>
      <c r="N22" s="178">
        <f t="shared" si="4"/>
        <v>5.9608058236056074</v>
      </c>
      <c r="O22" s="83" t="s">
        <v>30</v>
      </c>
      <c r="P22" s="83" t="s">
        <v>30</v>
      </c>
      <c r="Q22" s="83" t="s">
        <v>30</v>
      </c>
      <c r="R22" s="169">
        <v>3</v>
      </c>
      <c r="S22" s="169">
        <v>38.1</v>
      </c>
      <c r="T22" s="169">
        <f t="shared" si="6"/>
        <v>26.192673163740043</v>
      </c>
      <c r="U22" s="169">
        <f t="shared" si="7"/>
        <v>102.1436988863255</v>
      </c>
    </row>
    <row r="23" spans="1:21">
      <c r="A23" s="82" t="s">
        <v>281</v>
      </c>
      <c r="B23" s="170">
        <f>CONVERT(26*0.001,"in","cm")</f>
        <v>6.6040000000000015E-2</v>
      </c>
      <c r="C23" s="170">
        <f t="shared" si="0"/>
        <v>3.9512113870381578</v>
      </c>
      <c r="D23" s="170">
        <f t="shared" si="5"/>
        <v>0.25308694019268951</v>
      </c>
      <c r="E23" s="82">
        <v>12.6</v>
      </c>
      <c r="F23" s="82">
        <v>6.0000000000000001E-3</v>
      </c>
      <c r="G23" s="82">
        <v>5.2</v>
      </c>
      <c r="H23" s="173">
        <f t="shared" ref="H23:H46" si="8">F23/(CONVERT(G23,"cm","m"))</f>
        <v>0.11538461538461538</v>
      </c>
      <c r="I23" s="173">
        <f t="shared" ref="I23:I46" si="9">H23*(CONVERT(E23,"cm","m"))^3/3</f>
        <v>7.6937538461538472E-5</v>
      </c>
      <c r="J23" s="173">
        <f t="shared" si="1"/>
        <v>8.7222385902192152E-6</v>
      </c>
      <c r="K23" s="173">
        <f t="shared" si="2"/>
        <v>6.9570236374367562E-5</v>
      </c>
      <c r="L23" s="179">
        <f t="shared" ref="L23:L61" si="10">64*I23/(PI()*(CONVERT(B23,"cm","m")^4))/(10^9)</f>
        <v>8.2402451123518983</v>
      </c>
      <c r="M23" s="170">
        <f t="shared" si="3"/>
        <v>0.50101090680544813</v>
      </c>
      <c r="N23" s="170">
        <f t="shared" si="4"/>
        <v>2.4796952226199336</v>
      </c>
      <c r="O23" s="170">
        <f>F23/(CONVERT(G23,"cm","m"))</f>
        <v>0.11538461538461538</v>
      </c>
      <c r="P23" s="170">
        <f t="shared" ref="P23:P61" si="11">D23^2*$H$13</f>
        <v>1.370734184936497E-2</v>
      </c>
      <c r="Q23" s="170">
        <f t="shared" ref="Q23:Q61" si="12">D23^2*$I$13</f>
        <v>6.5564650079485906E-2</v>
      </c>
      <c r="R23" s="169">
        <v>3</v>
      </c>
      <c r="S23" s="169">
        <v>38.1</v>
      </c>
      <c r="T23" s="169">
        <f t="shared" si="6"/>
        <v>10.896152036115861</v>
      </c>
      <c r="U23" s="169">
        <f t="shared" si="7"/>
        <v>42.491778736711417</v>
      </c>
    </row>
    <row r="24" spans="1:21">
      <c r="A24" s="82" t="s">
        <v>282</v>
      </c>
      <c r="B24" s="170">
        <f>CONVERT(((29+38)/2)*0.001,"in","cm")</f>
        <v>8.5089999999999999E-2</v>
      </c>
      <c r="C24" s="170">
        <f t="shared" si="0"/>
        <v>3.0666118227758843</v>
      </c>
      <c r="D24" s="170">
        <f t="shared" si="5"/>
        <v>0.326092788325196</v>
      </c>
      <c r="E24" s="82">
        <v>11.2</v>
      </c>
      <c r="F24" s="82">
        <v>0.01</v>
      </c>
      <c r="G24" s="82">
        <v>4.5</v>
      </c>
      <c r="H24" s="170">
        <f t="shared" si="8"/>
        <v>0.22222222222222224</v>
      </c>
      <c r="I24" s="180">
        <f t="shared" si="9"/>
        <v>1.0406874074074073E-4</v>
      </c>
      <c r="J24" s="180">
        <f t="shared" si="1"/>
        <v>3.0973141573362452E-5</v>
      </c>
      <c r="K24" s="180">
        <f t="shared" si="2"/>
        <v>2.4704767683515294E-4</v>
      </c>
      <c r="L24" s="179">
        <f t="shared" si="10"/>
        <v>4.0442342811054868</v>
      </c>
      <c r="M24" s="170">
        <f t="shared" si="3"/>
        <v>0.64553328376855801</v>
      </c>
      <c r="N24" s="170">
        <f t="shared" si="4"/>
        <v>3.1949919214526057</v>
      </c>
      <c r="O24" s="170">
        <f t="shared" ref="O24:O54" si="13">F24/(CONVERT(G24,"cm","m"))</f>
        <v>0.22222222222222224</v>
      </c>
      <c r="P24" s="170">
        <f t="shared" si="11"/>
        <v>2.2756012411908031E-2</v>
      </c>
      <c r="Q24" s="170">
        <f t="shared" si="12"/>
        <v>0.10884604815340683</v>
      </c>
      <c r="R24" s="169">
        <v>3</v>
      </c>
      <c r="S24" s="169">
        <v>38.1</v>
      </c>
      <c r="T24" s="169">
        <f t="shared" si="6"/>
        <v>14.039272815764663</v>
      </c>
      <c r="U24" s="169">
        <f t="shared" si="7"/>
        <v>54.749022603070458</v>
      </c>
    </row>
    <row r="25" spans="1:21">
      <c r="A25" s="82" t="s">
        <v>283</v>
      </c>
      <c r="B25" s="170">
        <f>CONVERT(((30+66)/2)*0.001,"in","cm")</f>
        <v>0.12191999999999999</v>
      </c>
      <c r="C25" s="170">
        <f t="shared" si="0"/>
        <v>2.1402395013123363</v>
      </c>
      <c r="D25" s="170">
        <f t="shared" si="5"/>
        <v>0.46723742804804197</v>
      </c>
      <c r="E25" s="82">
        <v>7.3</v>
      </c>
      <c r="F25" s="82">
        <v>4.8000000000000001E-2</v>
      </c>
      <c r="G25" s="82">
        <v>3.2</v>
      </c>
      <c r="H25" s="173">
        <f t="shared" si="8"/>
        <v>1.5</v>
      </c>
      <c r="I25" s="177">
        <f t="shared" si="9"/>
        <v>1.9450849999999998E-4</v>
      </c>
      <c r="J25" s="177">
        <f t="shared" si="1"/>
        <v>1.870541764380302E-4</v>
      </c>
      <c r="K25" s="177">
        <f t="shared" si="2"/>
        <v>1.4919797406366697E-3</v>
      </c>
      <c r="L25" s="181">
        <f t="shared" si="10"/>
        <v>1.7933657447631179</v>
      </c>
      <c r="M25" s="178">
        <f t="shared" si="3"/>
        <v>0.92494321256390388</v>
      </c>
      <c r="N25" s="178">
        <f t="shared" si="4"/>
        <v>4.5778988725291061</v>
      </c>
      <c r="O25" s="170">
        <f t="shared" si="13"/>
        <v>1.5</v>
      </c>
      <c r="P25" s="170">
        <f t="shared" si="11"/>
        <v>4.6718514232155131E-2</v>
      </c>
      <c r="Q25" s="170">
        <f t="shared" si="12"/>
        <v>0.22346294938333641</v>
      </c>
      <c r="R25" s="169">
        <v>3</v>
      </c>
      <c r="S25" s="169">
        <v>38.1</v>
      </c>
      <c r="T25" s="169">
        <f t="shared" si="6"/>
        <v>20.11597298975235</v>
      </c>
      <c r="U25" s="169">
        <f t="shared" si="7"/>
        <v>78.446360744697955</v>
      </c>
    </row>
    <row r="26" spans="1:21">
      <c r="A26" s="82" t="s">
        <v>284</v>
      </c>
      <c r="B26" s="170">
        <f>CONVERT(20*0.001,"in","cm")</f>
        <v>5.0799999999999998E-2</v>
      </c>
      <c r="C26" s="170">
        <f t="shared" si="0"/>
        <v>5.1365748031496068</v>
      </c>
      <c r="D26" s="170">
        <f t="shared" si="5"/>
        <v>0.19468226168668418</v>
      </c>
      <c r="E26" s="82">
        <v>7.3</v>
      </c>
      <c r="F26" s="82">
        <v>2.1999999999999999E-2</v>
      </c>
      <c r="G26" s="82">
        <v>3.9</v>
      </c>
      <c r="H26" s="173">
        <f t="shared" si="8"/>
        <v>0.5641025641025641</v>
      </c>
      <c r="I26" s="173">
        <f t="shared" si="9"/>
        <v>7.3148495726495713E-5</v>
      </c>
      <c r="J26" s="173">
        <f t="shared" si="1"/>
        <v>2.349152445701697E-6</v>
      </c>
      <c r="K26" s="173">
        <f t="shared" si="2"/>
        <v>1.8737287364525442E-5</v>
      </c>
      <c r="L26" s="179">
        <f t="shared" si="10"/>
        <v>22.375907168136084</v>
      </c>
      <c r="M26" s="170">
        <f t="shared" si="3"/>
        <v>0.38539300523496001</v>
      </c>
      <c r="N26" s="170">
        <f t="shared" si="4"/>
        <v>1.9074578635537944</v>
      </c>
      <c r="O26" s="170">
        <f t="shared" si="13"/>
        <v>0.5641025641025641</v>
      </c>
      <c r="P26" s="170">
        <f t="shared" si="11"/>
        <v>8.1108531653047104E-3</v>
      </c>
      <c r="Q26" s="170">
        <f t="shared" si="12"/>
        <v>3.8795650934607025E-2</v>
      </c>
      <c r="R26" s="169">
        <v>3</v>
      </c>
      <c r="S26" s="169">
        <v>38.1</v>
      </c>
      <c r="T26" s="169">
        <f t="shared" si="6"/>
        <v>8.3816554123968139</v>
      </c>
      <c r="U26" s="169">
        <f t="shared" si="7"/>
        <v>32.685983643624155</v>
      </c>
    </row>
    <row r="27" spans="1:21">
      <c r="A27" s="82" t="s">
        <v>285</v>
      </c>
      <c r="B27" s="170">
        <f>CONVERT(32*0.001,"in","cm")</f>
        <v>8.1280000000000005E-2</v>
      </c>
      <c r="C27" s="170">
        <f t="shared" si="0"/>
        <v>3.2103592519685038</v>
      </c>
      <c r="D27" s="170">
        <f t="shared" si="5"/>
        <v>0.31149161869869474</v>
      </c>
      <c r="E27" s="82">
        <v>7.3</v>
      </c>
      <c r="F27" s="82">
        <v>3.4000000000000002E-2</v>
      </c>
      <c r="G27" s="82">
        <v>3.9</v>
      </c>
      <c r="H27" s="173">
        <f t="shared" si="8"/>
        <v>0.87179487179487181</v>
      </c>
      <c r="I27" s="180">
        <f t="shared" si="9"/>
        <v>1.130476752136752E-4</v>
      </c>
      <c r="J27" s="180">
        <f t="shared" si="1"/>
        <v>2.4632648749041047E-5</v>
      </c>
      <c r="K27" s="180">
        <f t="shared" si="2"/>
        <v>1.9647469835544647E-4</v>
      </c>
      <c r="L27" s="179">
        <f t="shared" si="10"/>
        <v>5.2766338259376298</v>
      </c>
      <c r="M27" s="170">
        <f t="shared" si="3"/>
        <v>0.61662880837593614</v>
      </c>
      <c r="N27" s="170">
        <f t="shared" si="4"/>
        <v>3.0519325816860716</v>
      </c>
      <c r="O27" s="170">
        <f t="shared" si="13"/>
        <v>0.87179487179487181</v>
      </c>
      <c r="P27" s="170">
        <f t="shared" si="11"/>
        <v>2.0763784103180069E-2</v>
      </c>
      <c r="Q27" s="170">
        <f t="shared" si="12"/>
        <v>9.9316866392594016E-2</v>
      </c>
      <c r="R27" s="169">
        <v>3</v>
      </c>
      <c r="S27" s="169">
        <v>38.1</v>
      </c>
      <c r="T27" s="169">
        <f t="shared" si="6"/>
        <v>13.410648659834903</v>
      </c>
      <c r="U27" s="169">
        <f t="shared" si="7"/>
        <v>52.297573829798658</v>
      </c>
    </row>
    <row r="28" spans="1:21">
      <c r="A28" s="82" t="s">
        <v>286</v>
      </c>
      <c r="B28" s="170">
        <f>CONVERT(27*0.001,"in","cm")</f>
        <v>6.8580000000000002E-2</v>
      </c>
      <c r="C28" s="170">
        <f t="shared" si="0"/>
        <v>3.8048702245552639</v>
      </c>
      <c r="D28" s="170">
        <f t="shared" si="5"/>
        <v>0.26282105327702365</v>
      </c>
      <c r="E28" s="82">
        <v>7.3</v>
      </c>
      <c r="F28" s="82">
        <v>3.3000000000000002E-2</v>
      </c>
      <c r="G28" s="82">
        <v>3.9</v>
      </c>
      <c r="H28" s="173">
        <f t="shared" si="8"/>
        <v>0.84615384615384615</v>
      </c>
      <c r="I28" s="173">
        <f t="shared" si="9"/>
        <v>1.0972274358974358E-4</v>
      </c>
      <c r="J28" s="173">
        <f t="shared" si="1"/>
        <v>1.0533678116311314E-5</v>
      </c>
      <c r="K28" s="173">
        <f t="shared" si="2"/>
        <v>8.4018623070578348E-5</v>
      </c>
      <c r="L28" s="179">
        <f t="shared" si="10"/>
        <v>10.105012071617841</v>
      </c>
      <c r="M28" s="170">
        <f t="shared" si="3"/>
        <v>0.520280557067196</v>
      </c>
      <c r="N28" s="170">
        <f t="shared" si="4"/>
        <v>2.5750681157976225</v>
      </c>
      <c r="O28" s="170">
        <f t="shared" si="13"/>
        <v>0.84615384615384615</v>
      </c>
      <c r="P28" s="170">
        <f t="shared" si="11"/>
        <v>1.4782029893767838E-2</v>
      </c>
      <c r="Q28" s="170">
        <f t="shared" si="12"/>
        <v>7.0705073828321308E-2</v>
      </c>
      <c r="R28" s="169">
        <v>3</v>
      </c>
      <c r="S28" s="169">
        <v>38.1</v>
      </c>
      <c r="T28" s="169">
        <f t="shared" si="6"/>
        <v>11.315234806735699</v>
      </c>
      <c r="U28" s="169">
        <f t="shared" si="7"/>
        <v>44.126077918892612</v>
      </c>
    </row>
    <row r="29" spans="1:21">
      <c r="A29" s="82" t="s">
        <v>287</v>
      </c>
      <c r="B29" s="170">
        <f>CONVERT(26*0.001,"in","cm")</f>
        <v>6.6040000000000015E-2</v>
      </c>
      <c r="C29" s="170">
        <f t="shared" si="0"/>
        <v>3.9512113870381578</v>
      </c>
      <c r="D29" s="170">
        <f t="shared" si="5"/>
        <v>0.25308694019268951</v>
      </c>
      <c r="E29" s="82">
        <v>7.3</v>
      </c>
      <c r="F29" s="82">
        <v>2.1999999999999999E-2</v>
      </c>
      <c r="G29" s="82">
        <v>3.9</v>
      </c>
      <c r="H29" s="173">
        <f t="shared" si="8"/>
        <v>0.5641025641025641</v>
      </c>
      <c r="I29" s="173">
        <f t="shared" si="9"/>
        <v>7.3148495726495713E-5</v>
      </c>
      <c r="J29" s="173">
        <f t="shared" si="1"/>
        <v>8.7222385902192152E-6</v>
      </c>
      <c r="K29" s="173">
        <f t="shared" si="2"/>
        <v>6.9570236374367562E-5</v>
      </c>
      <c r="L29" s="179">
        <f t="shared" si="10"/>
        <v>7.8344270747298994</v>
      </c>
      <c r="M29" s="170">
        <f t="shared" si="3"/>
        <v>0.50101090680544813</v>
      </c>
      <c r="N29" s="170">
        <f t="shared" si="4"/>
        <v>2.4796952226199336</v>
      </c>
      <c r="O29" s="170">
        <f t="shared" si="13"/>
        <v>0.5641025641025641</v>
      </c>
      <c r="P29" s="170">
        <f t="shared" si="11"/>
        <v>1.370734184936497E-2</v>
      </c>
      <c r="Q29" s="170">
        <f t="shared" si="12"/>
        <v>6.5564650079485906E-2</v>
      </c>
      <c r="R29" s="169">
        <v>3</v>
      </c>
      <c r="S29" s="169">
        <v>38.1</v>
      </c>
      <c r="T29" s="169">
        <f t="shared" si="6"/>
        <v>10.896152036115861</v>
      </c>
      <c r="U29" s="169">
        <f t="shared" si="7"/>
        <v>42.491778736711417</v>
      </c>
    </row>
    <row r="30" spans="1:21">
      <c r="A30" s="82" t="s">
        <v>288</v>
      </c>
      <c r="B30" s="170">
        <f>CONVERT(16*0.001,"in","cm")</f>
        <v>4.0640000000000003E-2</v>
      </c>
      <c r="C30" s="170">
        <f t="shared" si="0"/>
        <v>6.4207185039370076</v>
      </c>
      <c r="D30" s="170">
        <f t="shared" si="5"/>
        <v>0.15574580934934737</v>
      </c>
      <c r="E30" s="82">
        <v>7.3</v>
      </c>
      <c r="F30" s="82">
        <v>2E-3</v>
      </c>
      <c r="G30" s="82">
        <v>3.9</v>
      </c>
      <c r="H30" s="173">
        <f t="shared" si="8"/>
        <v>5.128205128205128E-2</v>
      </c>
      <c r="I30" s="173">
        <f t="shared" si="9"/>
        <v>6.6498632478632475E-6</v>
      </c>
      <c r="J30" s="173">
        <f t="shared" si="1"/>
        <v>7.6977027340753272E-7</v>
      </c>
      <c r="K30" s="173">
        <f t="shared" si="2"/>
        <v>6.1398343236077023E-6</v>
      </c>
      <c r="L30" s="179">
        <f t="shared" si="10"/>
        <v>4.9662436008824749</v>
      </c>
      <c r="M30" s="170">
        <f t="shared" si="3"/>
        <v>0.30831440418796807</v>
      </c>
      <c r="N30" s="170">
        <f t="shared" si="4"/>
        <v>1.5259662908430358</v>
      </c>
      <c r="O30" s="170">
        <f t="shared" si="13"/>
        <v>5.128205128205128E-2</v>
      </c>
      <c r="P30" s="170">
        <f t="shared" si="11"/>
        <v>5.1909460257950173E-3</v>
      </c>
      <c r="Q30" s="170">
        <f t="shared" si="12"/>
        <v>2.4829216598148504E-2</v>
      </c>
      <c r="R30" s="169">
        <v>3</v>
      </c>
      <c r="S30" s="169">
        <v>38.1</v>
      </c>
      <c r="T30" s="169">
        <f t="shared" si="6"/>
        <v>6.7053243299174516</v>
      </c>
      <c r="U30" s="169">
        <f t="shared" si="7"/>
        <v>26.148786914899329</v>
      </c>
    </row>
    <row r="31" spans="1:21">
      <c r="A31" s="82" t="s">
        <v>289</v>
      </c>
      <c r="B31" s="170">
        <f>CONVERT(((45+55)/2)*0.001,"in","cm")</f>
        <v>0.127</v>
      </c>
      <c r="C31" s="170">
        <f t="shared" si="0"/>
        <v>2.0546299212598425</v>
      </c>
      <c r="D31" s="170">
        <f t="shared" si="5"/>
        <v>0.48670565421671053</v>
      </c>
      <c r="E31" s="82">
        <v>5.2</v>
      </c>
      <c r="F31" s="82">
        <v>0.03</v>
      </c>
      <c r="G31" s="82">
        <v>2</v>
      </c>
      <c r="H31" s="173">
        <f t="shared" si="8"/>
        <v>1.5</v>
      </c>
      <c r="I31" s="173">
        <f t="shared" si="9"/>
        <v>7.0304000000000023E-5</v>
      </c>
      <c r="J31" s="173">
        <f t="shared" si="1"/>
        <v>2.2940941852555655E-4</v>
      </c>
      <c r="K31" s="173">
        <f t="shared" si="2"/>
        <v>1.8298132191919396E-3</v>
      </c>
      <c r="L31" s="179">
        <f t="shared" si="10"/>
        <v>0.5505480803846251</v>
      </c>
      <c r="M31" s="170">
        <f t="shared" si="3"/>
        <v>0.96348251308740018</v>
      </c>
      <c r="N31" s="170">
        <f t="shared" si="4"/>
        <v>4.7686446588844866</v>
      </c>
      <c r="O31" s="170">
        <f t="shared" si="13"/>
        <v>1.5</v>
      </c>
      <c r="P31" s="170">
        <f t="shared" si="11"/>
        <v>5.0692832283154465E-2</v>
      </c>
      <c r="Q31" s="170">
        <f t="shared" si="12"/>
        <v>0.24247281834129397</v>
      </c>
      <c r="R31" s="169">
        <v>3</v>
      </c>
      <c r="S31" s="169">
        <v>38.1</v>
      </c>
      <c r="T31" s="169">
        <f t="shared" si="6"/>
        <v>20.954138530992036</v>
      </c>
      <c r="U31" s="169">
        <f t="shared" si="7"/>
        <v>81.714959109060402</v>
      </c>
    </row>
    <row r="32" spans="1:21">
      <c r="A32" s="82" t="s">
        <v>290</v>
      </c>
      <c r="B32" s="170">
        <f>CONVERT(((45+85)/2)*0.001,"in","cm")</f>
        <v>0.1651</v>
      </c>
      <c r="C32" s="170">
        <f t="shared" si="0"/>
        <v>1.5804845548152635</v>
      </c>
      <c r="D32" s="170">
        <f t="shared" si="5"/>
        <v>0.63271735048172362</v>
      </c>
      <c r="E32" s="82">
        <v>7.3</v>
      </c>
      <c r="F32" s="82">
        <v>2.5000000000000001E-2</v>
      </c>
      <c r="G32" s="82">
        <v>3.1</v>
      </c>
      <c r="H32" s="173">
        <f t="shared" si="8"/>
        <v>0.80645161290322576</v>
      </c>
      <c r="I32" s="173">
        <f t="shared" si="9"/>
        <v>1.0457446236559138E-4</v>
      </c>
      <c r="J32" s="173">
        <f t="shared" si="1"/>
        <v>8.517811123260943E-4</v>
      </c>
      <c r="K32" s="173">
        <f t="shared" si="2"/>
        <v>6.7939683959343244E-3</v>
      </c>
      <c r="L32" s="179">
        <f t="shared" si="10"/>
        <v>0.28672624601944058</v>
      </c>
      <c r="M32" s="170">
        <f t="shared" si="3"/>
        <v>1.25252726701362</v>
      </c>
      <c r="N32" s="170">
        <f t="shared" si="4"/>
        <v>6.1992380565498317</v>
      </c>
      <c r="O32" s="170">
        <f t="shared" si="13"/>
        <v>0.80645161290322576</v>
      </c>
      <c r="P32" s="170">
        <f t="shared" si="11"/>
        <v>8.5670886558531029E-2</v>
      </c>
      <c r="Q32" s="170">
        <f t="shared" si="12"/>
        <v>0.40977906299678674</v>
      </c>
      <c r="R32" s="169">
        <v>3</v>
      </c>
      <c r="S32" s="169">
        <v>38.1</v>
      </c>
      <c r="T32" s="169">
        <f t="shared" si="6"/>
        <v>27.240380090289644</v>
      </c>
      <c r="U32" s="169">
        <f t="shared" si="7"/>
        <v>106.22944684177851</v>
      </c>
    </row>
    <row r="33" spans="1:22" s="139" customFormat="1">
      <c r="A33" s="82" t="s">
        <v>291</v>
      </c>
      <c r="B33" s="170">
        <f>CONVERT(((40+55)/2)*0.001,"in","cm")</f>
        <v>0.12065000000000001</v>
      </c>
      <c r="C33" s="170">
        <f t="shared" si="0"/>
        <v>2.162768338168255</v>
      </c>
      <c r="D33" s="170">
        <f t="shared" si="5"/>
        <v>0.46237037150587501</v>
      </c>
      <c r="E33" s="82">
        <v>5.2</v>
      </c>
      <c r="F33" s="82">
        <v>3.9E-2</v>
      </c>
      <c r="G33" s="82">
        <v>2.1</v>
      </c>
      <c r="H33" s="173">
        <f t="shared" si="8"/>
        <v>1.857142857142857</v>
      </c>
      <c r="I33" s="173">
        <f t="shared" si="9"/>
        <v>8.7043047619047635E-5</v>
      </c>
      <c r="J33" s="173">
        <f t="shared" si="1"/>
        <v>1.7751263493803501E-4</v>
      </c>
      <c r="K33" s="173">
        <f t="shared" si="2"/>
        <v>1.4158745881962319E-3</v>
      </c>
      <c r="L33" s="179">
        <f t="shared" si="10"/>
        <v>0.83686399787193633</v>
      </c>
      <c r="M33" s="170">
        <f t="shared" si="3"/>
        <v>0.91530838743303022</v>
      </c>
      <c r="N33" s="170">
        <f t="shared" si="4"/>
        <v>4.5302124259402623</v>
      </c>
      <c r="O33" s="170">
        <f t="shared" si="13"/>
        <v>1.857142857142857</v>
      </c>
      <c r="P33" s="170">
        <f t="shared" si="11"/>
        <v>4.5750281135546904E-2</v>
      </c>
      <c r="Q33" s="170">
        <f t="shared" si="12"/>
        <v>0.21883171855301783</v>
      </c>
      <c r="R33" s="169">
        <v>3</v>
      </c>
      <c r="S33" s="169">
        <v>38.1</v>
      </c>
      <c r="T33" s="169">
        <f t="shared" si="6"/>
        <v>19.906431604442435</v>
      </c>
      <c r="U33" s="169">
        <f t="shared" si="7"/>
        <v>77.629211153607386</v>
      </c>
      <c r="V33"/>
    </row>
    <row r="34" spans="1:22">
      <c r="A34" s="82" t="s">
        <v>292</v>
      </c>
      <c r="B34" s="170">
        <f>CONVERT(((43+56)/2)*0.001,"in","cm")</f>
        <v>0.12573000000000001</v>
      </c>
      <c r="C34" s="170">
        <f t="shared" si="0"/>
        <v>2.0753837588483255</v>
      </c>
      <c r="D34" s="170">
        <f t="shared" si="5"/>
        <v>0.48183859767454346</v>
      </c>
      <c r="E34" s="82">
        <v>5.2</v>
      </c>
      <c r="F34" s="82">
        <v>2.5000000000000001E-2</v>
      </c>
      <c r="G34" s="82">
        <v>2.1</v>
      </c>
      <c r="H34" s="173">
        <f t="shared" si="8"/>
        <v>1.1904761904761905</v>
      </c>
      <c r="I34" s="173">
        <f t="shared" si="9"/>
        <v>5.5796825396825418E-5</v>
      </c>
      <c r="J34" s="173">
        <f t="shared" si="1"/>
        <v>2.1816607437114908E-4</v>
      </c>
      <c r="K34" s="173">
        <f t="shared" si="2"/>
        <v>1.7401341646270227E-3</v>
      </c>
      <c r="L34" s="179">
        <f t="shared" si="10"/>
        <v>0.45486647497128235</v>
      </c>
      <c r="M34" s="170">
        <f t="shared" si="3"/>
        <v>0.95384768795652619</v>
      </c>
      <c r="N34" s="170">
        <f t="shared" si="4"/>
        <v>4.7209582122956419</v>
      </c>
      <c r="O34" s="170">
        <f t="shared" si="13"/>
        <v>1.1904761904761905</v>
      </c>
      <c r="P34" s="170">
        <f t="shared" si="11"/>
        <v>4.9684044920719692E-2</v>
      </c>
      <c r="Q34" s="170">
        <f t="shared" si="12"/>
        <v>0.23764760925630227</v>
      </c>
      <c r="R34" s="169">
        <v>3</v>
      </c>
      <c r="S34" s="169">
        <v>38.1</v>
      </c>
      <c r="T34" s="169">
        <f t="shared" si="6"/>
        <v>20.744597145682118</v>
      </c>
      <c r="U34" s="169">
        <f t="shared" si="7"/>
        <v>80.897809517969804</v>
      </c>
    </row>
    <row r="35" spans="1:22">
      <c r="A35" s="82" t="s">
        <v>293</v>
      </c>
      <c r="B35" s="170">
        <f>CONVERT(((89+65+25+45)/4)*0.001,"in","cm")</f>
        <v>0.14224000000000001</v>
      </c>
      <c r="C35" s="170">
        <f t="shared" si="0"/>
        <v>1.8344910011248594</v>
      </c>
      <c r="D35" s="170">
        <f t="shared" si="5"/>
        <v>0.5451103327227157</v>
      </c>
      <c r="E35" s="82">
        <v>5.2</v>
      </c>
      <c r="F35" s="82">
        <v>1.2E-2</v>
      </c>
      <c r="G35" s="82">
        <v>2.1</v>
      </c>
      <c r="H35" s="173">
        <f t="shared" si="8"/>
        <v>0.5714285714285714</v>
      </c>
      <c r="I35" s="173">
        <f t="shared" si="9"/>
        <v>2.6782476190476199E-5</v>
      </c>
      <c r="J35" s="173">
        <f t="shared" si="1"/>
        <v>4.0429778078626216E-4</v>
      </c>
      <c r="K35" s="173">
        <f t="shared" si="2"/>
        <v>3.2247561086523298E-3</v>
      </c>
      <c r="L35" s="179">
        <f t="shared" si="10"/>
        <v>0.13328886023447831</v>
      </c>
      <c r="M35" s="170">
        <f t="shared" si="3"/>
        <v>1.079100414657888</v>
      </c>
      <c r="N35" s="170">
        <f t="shared" si="4"/>
        <v>5.3408820179506238</v>
      </c>
      <c r="O35" s="170">
        <f t="shared" si="13"/>
        <v>0.5714285714285714</v>
      </c>
      <c r="P35" s="170">
        <f t="shared" si="11"/>
        <v>6.3589088815988931E-2</v>
      </c>
      <c r="Q35" s="170">
        <f t="shared" si="12"/>
        <v>0.30415790332731907</v>
      </c>
      <c r="R35" s="169">
        <v>3</v>
      </c>
      <c r="S35" s="169">
        <v>38.1</v>
      </c>
      <c r="T35" s="169">
        <f t="shared" si="6"/>
        <v>23.468635154711077</v>
      </c>
      <c r="U35" s="169">
        <f t="shared" si="7"/>
        <v>91.520754202147629</v>
      </c>
    </row>
    <row r="36" spans="1:22">
      <c r="A36" s="82" t="s">
        <v>294</v>
      </c>
      <c r="B36" s="170">
        <f>CONVERT(((155+95+135+100+40+35)/6)*0.001,"in","cm")</f>
        <v>0.23706666666666662</v>
      </c>
      <c r="C36" s="170">
        <f t="shared" si="0"/>
        <v>1.1006946006749159</v>
      </c>
      <c r="D36" s="170">
        <f t="shared" si="5"/>
        <v>0.90851722120452605</v>
      </c>
      <c r="E36" s="82">
        <v>11.1</v>
      </c>
      <c r="F36" s="82">
        <v>2.1000000000000001E-2</v>
      </c>
      <c r="G36" s="82">
        <v>4.5</v>
      </c>
      <c r="H36" s="173">
        <f t="shared" si="8"/>
        <v>0.46666666666666673</v>
      </c>
      <c r="I36" s="173">
        <f t="shared" si="9"/>
        <v>2.1274260000000002E-4</v>
      </c>
      <c r="J36" s="173">
        <f t="shared" si="1"/>
        <v>5.1993027364488431E-3</v>
      </c>
      <c r="K36" s="173">
        <f t="shared" si="2"/>
        <v>4.1470628969294349E-2</v>
      </c>
      <c r="L36" s="179">
        <f t="shared" si="10"/>
        <v>0.13721531625546363</v>
      </c>
      <c r="M36" s="170">
        <f t="shared" si="3"/>
        <v>1.7985006910964798</v>
      </c>
      <c r="N36" s="170">
        <f t="shared" si="4"/>
        <v>8.9014700299177054</v>
      </c>
      <c r="O36" s="174">
        <f t="shared" si="13"/>
        <v>0.46666666666666673</v>
      </c>
      <c r="P36" s="174">
        <f t="shared" si="11"/>
        <v>0.17663635782219148</v>
      </c>
      <c r="Q36" s="174">
        <f t="shared" si="12"/>
        <v>0.84488306479810837</v>
      </c>
      <c r="R36" s="170">
        <v>3</v>
      </c>
      <c r="S36" s="170">
        <v>38.1</v>
      </c>
      <c r="T36" s="170">
        <f t="shared" si="6"/>
        <v>39.114391924518458</v>
      </c>
      <c r="U36" s="170">
        <f t="shared" si="7"/>
        <v>152.53459033691271</v>
      </c>
    </row>
    <row r="37" spans="1:22">
      <c r="A37" s="82" t="s">
        <v>295</v>
      </c>
      <c r="B37" s="170">
        <f>CONVERT(94*0.001,"in","cm")</f>
        <v>0.23876000000000003</v>
      </c>
      <c r="C37" s="170">
        <f t="shared" si="0"/>
        <v>1.0928882559892779</v>
      </c>
      <c r="D37" s="170">
        <f t="shared" si="5"/>
        <v>0.91500662992741577</v>
      </c>
      <c r="E37" s="82">
        <v>18</v>
      </c>
      <c r="F37" s="82">
        <v>3.2000000000000001E-2</v>
      </c>
      <c r="G37" s="82">
        <v>8.4</v>
      </c>
      <c r="H37" s="173">
        <f t="shared" si="8"/>
        <v>0.38095238095238093</v>
      </c>
      <c r="I37" s="173">
        <f t="shared" si="9"/>
        <v>7.4057142857142844E-4</v>
      </c>
      <c r="J37" s="173">
        <f t="shared" si="1"/>
        <v>5.3876638410352319E-3</v>
      </c>
      <c r="K37" s="173">
        <f t="shared" si="2"/>
        <v>4.2973033017781027E-2</v>
      </c>
      <c r="L37" s="179">
        <f t="shared" si="10"/>
        <v>0.46424878227608551</v>
      </c>
      <c r="M37" s="170">
        <f t="shared" si="3"/>
        <v>1.8113471246043122</v>
      </c>
      <c r="N37" s="170">
        <f t="shared" si="4"/>
        <v>8.9650519587028352</v>
      </c>
      <c r="O37" s="174">
        <f t="shared" si="13"/>
        <v>0.38095238095238093</v>
      </c>
      <c r="P37" s="174">
        <f t="shared" si="11"/>
        <v>0.17916874642158112</v>
      </c>
      <c r="Q37" s="174">
        <f t="shared" si="12"/>
        <v>0.8569959291454694</v>
      </c>
      <c r="R37" s="170">
        <v>3</v>
      </c>
      <c r="S37" s="170">
        <v>38.1</v>
      </c>
      <c r="T37" s="170">
        <f t="shared" si="6"/>
        <v>39.393780438265026</v>
      </c>
      <c r="U37" s="170">
        <f t="shared" si="7"/>
        <v>153.62412312503355</v>
      </c>
    </row>
    <row r="38" spans="1:22">
      <c r="A38" s="82" t="s">
        <v>296</v>
      </c>
      <c r="B38" s="179">
        <f>CONVERT(61*0.001,"in","cm")</f>
        <v>0.15493999999999999</v>
      </c>
      <c r="C38" s="170">
        <f t="shared" si="0"/>
        <v>1.6841228862785595</v>
      </c>
      <c r="D38" s="170">
        <f t="shared" si="5"/>
        <v>0.59378089814438673</v>
      </c>
      <c r="E38" s="82">
        <v>18</v>
      </c>
      <c r="F38" s="82">
        <v>3.4000000000000002E-2</v>
      </c>
      <c r="G38" s="82">
        <v>9.8000000000000007</v>
      </c>
      <c r="H38" s="173">
        <f t="shared" si="8"/>
        <v>0.34693877551020408</v>
      </c>
      <c r="I38" s="182">
        <f t="shared" si="9"/>
        <v>6.744489795918367E-4</v>
      </c>
      <c r="J38" s="182">
        <f t="shared" si="1"/>
        <v>6.2002670816398641E-4</v>
      </c>
      <c r="K38" s="182">
        <f t="shared" si="2"/>
        <v>4.9454511246413207E-3</v>
      </c>
      <c r="L38" s="183">
        <f t="shared" si="10"/>
        <v>2.3841029038339987</v>
      </c>
      <c r="M38" s="184">
        <f t="shared" si="3"/>
        <v>1.1754486659666279</v>
      </c>
      <c r="N38" s="184">
        <f t="shared" si="4"/>
        <v>5.8177464838390724</v>
      </c>
      <c r="O38" s="184">
        <f t="shared" si="13"/>
        <v>0.34693877551020408</v>
      </c>
      <c r="P38" s="184">
        <f t="shared" si="11"/>
        <v>7.5451211570247076E-2</v>
      </c>
      <c r="Q38" s="184">
        <f t="shared" si="12"/>
        <v>0.36089654281918182</v>
      </c>
      <c r="R38" s="169">
        <v>3</v>
      </c>
      <c r="S38" s="169">
        <v>38.1</v>
      </c>
      <c r="T38" s="169">
        <f t="shared" si="6"/>
        <v>25.564049007810279</v>
      </c>
      <c r="U38" s="169">
        <f t="shared" si="7"/>
        <v>99.692250113053674</v>
      </c>
    </row>
    <row r="39" spans="1:22">
      <c r="A39" s="82" t="s">
        <v>297</v>
      </c>
      <c r="B39" s="170">
        <f>CONVERT(129*0.001,"in","cm")</f>
        <v>0.32766000000000001</v>
      </c>
      <c r="C39" s="170">
        <f t="shared" si="0"/>
        <v>0.79636818653482266</v>
      </c>
      <c r="D39" s="170">
        <f t="shared" si="5"/>
        <v>1.255700587879113</v>
      </c>
      <c r="E39" s="82">
        <v>36.1</v>
      </c>
      <c r="F39" s="82">
        <v>0.34699999999999998</v>
      </c>
      <c r="G39" s="82">
        <v>16.399999999999999</v>
      </c>
      <c r="H39" s="173">
        <f t="shared" si="8"/>
        <v>2.1158536585365857</v>
      </c>
      <c r="I39" s="177">
        <f t="shared" si="9"/>
        <v>3.3180733144308958E-2</v>
      </c>
      <c r="J39" s="177">
        <f t="shared" si="1"/>
        <v>2.6224654421617626E-2</v>
      </c>
      <c r="K39" s="177">
        <f t="shared" si="2"/>
        <v>0.20917283883909302</v>
      </c>
      <c r="L39" s="181">
        <f t="shared" si="10"/>
        <v>5.864383610790763</v>
      </c>
      <c r="M39" s="178">
        <f t="shared" si="3"/>
        <v>2.4857848837654921</v>
      </c>
      <c r="N39" s="178">
        <f t="shared" si="4"/>
        <v>12.303103219921974</v>
      </c>
      <c r="O39" s="170">
        <f t="shared" si="13"/>
        <v>2.1158536585365857</v>
      </c>
      <c r="P39" s="170">
        <f t="shared" si="11"/>
        <v>0.33743176880958925</v>
      </c>
      <c r="Q39" s="170">
        <f t="shared" si="12"/>
        <v>1.6139960680069889</v>
      </c>
      <c r="R39" s="170">
        <v>3</v>
      </c>
      <c r="S39" s="170">
        <v>38.1</v>
      </c>
      <c r="T39" s="170">
        <f t="shared" si="6"/>
        <v>54.061677409959451</v>
      </c>
      <c r="U39" s="170">
        <f t="shared" si="7"/>
        <v>210.8245945013758</v>
      </c>
    </row>
    <row r="40" spans="1:22">
      <c r="A40" s="82" t="s">
        <v>298</v>
      </c>
      <c r="B40" s="170">
        <f>CONVERT(60*0.001,"in","cm")</f>
        <v>0.15240000000000001</v>
      </c>
      <c r="C40" s="170">
        <f t="shared" si="0"/>
        <v>1.7121916010498688</v>
      </c>
      <c r="D40" s="170">
        <f t="shared" si="5"/>
        <v>0.58404678506005259</v>
      </c>
      <c r="E40" s="82">
        <v>36.1</v>
      </c>
      <c r="F40" s="82">
        <v>0.315</v>
      </c>
      <c r="G40" s="82">
        <v>10.3</v>
      </c>
      <c r="H40" s="173">
        <f t="shared" si="8"/>
        <v>3.058252427184466</v>
      </c>
      <c r="I40" s="173">
        <f t="shared" si="9"/>
        <v>4.79593932524272E-2</v>
      </c>
      <c r="J40" s="173">
        <f t="shared" si="1"/>
        <v>5.7084404430551264E-4</v>
      </c>
      <c r="K40" s="173">
        <f t="shared" si="2"/>
        <v>4.5531608295796841E-3</v>
      </c>
      <c r="L40" s="179">
        <f t="shared" si="10"/>
        <v>181.11895899765997</v>
      </c>
      <c r="M40" s="170">
        <f t="shared" si="3"/>
        <v>1.1561790157048801</v>
      </c>
      <c r="N40" s="170">
        <f t="shared" si="4"/>
        <v>5.722373590661384</v>
      </c>
      <c r="O40" s="170">
        <f t="shared" si="13"/>
        <v>3.058252427184466</v>
      </c>
      <c r="P40" s="170">
        <f t="shared" si="11"/>
        <v>7.2997678487742412E-2</v>
      </c>
      <c r="Q40" s="170">
        <f t="shared" si="12"/>
        <v>0.34916085841146327</v>
      </c>
      <c r="R40" s="169">
        <v>3</v>
      </c>
      <c r="S40" s="169">
        <v>38.1</v>
      </c>
      <c r="T40" s="169">
        <f t="shared" si="6"/>
        <v>25.144966237190442</v>
      </c>
      <c r="U40" s="169">
        <f t="shared" si="7"/>
        <v>98.057950930872465</v>
      </c>
    </row>
    <row r="41" spans="1:22">
      <c r="A41" s="82" t="s">
        <v>299</v>
      </c>
      <c r="B41" s="170">
        <f>CONVERT(((82+65+43+31)/4)*0.001,"in","cm")</f>
        <v>0.14033500000000002</v>
      </c>
      <c r="C41" s="170">
        <f t="shared" si="0"/>
        <v>1.8593935939003099</v>
      </c>
      <c r="D41" s="170">
        <f t="shared" si="5"/>
        <v>0.53780974790946512</v>
      </c>
      <c r="E41" s="82">
        <v>7.3</v>
      </c>
      <c r="F41" s="82">
        <v>1E-3</v>
      </c>
      <c r="G41" s="82">
        <v>3.9</v>
      </c>
      <c r="H41" s="173">
        <f t="shared" si="8"/>
        <v>2.564102564102564E-2</v>
      </c>
      <c r="I41" s="173">
        <f t="shared" si="9"/>
        <v>3.3249316239316238E-6</v>
      </c>
      <c r="J41" s="173">
        <f t="shared" si="1"/>
        <v>3.7793980462624751E-4</v>
      </c>
      <c r="K41" s="173">
        <f t="shared" si="2"/>
        <v>3.0145198702331648E-3</v>
      </c>
      <c r="L41" s="179">
        <f t="shared" si="10"/>
        <v>1.7464205136266037E-2</v>
      </c>
      <c r="M41" s="170">
        <f t="shared" si="3"/>
        <v>1.0646481769615772</v>
      </c>
      <c r="N41" s="170">
        <f t="shared" si="4"/>
        <v>5.2693523480673576</v>
      </c>
      <c r="O41" s="170">
        <f t="shared" si="13"/>
        <v>2.564102564102564E-2</v>
      </c>
      <c r="P41" s="170">
        <f t="shared" si="11"/>
        <v>6.1897215538538684E-2</v>
      </c>
      <c r="Q41" s="170">
        <f t="shared" si="12"/>
        <v>0.29606537301517849</v>
      </c>
      <c r="R41" s="169">
        <v>3</v>
      </c>
      <c r="S41" s="169">
        <v>38.1</v>
      </c>
      <c r="T41" s="169">
        <f t="shared" si="6"/>
        <v>23.154323076746202</v>
      </c>
      <c r="U41" s="169">
        <f t="shared" si="7"/>
        <v>90.295029815511739</v>
      </c>
    </row>
    <row r="42" spans="1:22">
      <c r="A42" s="82" t="s">
        <v>300</v>
      </c>
      <c r="B42" s="170">
        <f>CONVERT(((80+50+55+30)/4)*0.001,"in","cm")</f>
        <v>0.13652499999999998</v>
      </c>
      <c r="C42" s="170">
        <f t="shared" si="0"/>
        <v>1.9112836476835748</v>
      </c>
      <c r="D42" s="170">
        <f t="shared" si="5"/>
        <v>0.52320857828296363</v>
      </c>
      <c r="E42" s="82">
        <v>25.4</v>
      </c>
      <c r="F42" s="82">
        <v>8.9999999999999993E-3</v>
      </c>
      <c r="G42" s="82">
        <v>10.199999999999999</v>
      </c>
      <c r="H42" s="173">
        <f t="shared" si="8"/>
        <v>8.8235294117647065E-2</v>
      </c>
      <c r="I42" s="182">
        <f t="shared" si="9"/>
        <v>4.8197247058823532E-4</v>
      </c>
      <c r="J42" s="182">
        <f t="shared" si="1"/>
        <v>3.293468889353259E-4</v>
      </c>
      <c r="K42" s="182">
        <f t="shared" si="2"/>
        <v>2.6269335188889094E-3</v>
      </c>
      <c r="L42" s="183">
        <f t="shared" si="10"/>
        <v>2.8262045632383006</v>
      </c>
      <c r="M42" s="184">
        <f t="shared" si="3"/>
        <v>1.0357437015689548</v>
      </c>
      <c r="N42" s="184">
        <f t="shared" si="4"/>
        <v>5.1262930083008209</v>
      </c>
      <c r="O42" s="184">
        <f t="shared" si="13"/>
        <v>8.8235294117647065E-2</v>
      </c>
      <c r="P42" s="184">
        <f t="shared" si="11"/>
        <v>5.8581904307220344E-2</v>
      </c>
      <c r="Q42" s="184">
        <f t="shared" si="12"/>
        <v>0.28020765069565767</v>
      </c>
      <c r="R42" s="169">
        <v>3</v>
      </c>
      <c r="S42" s="169">
        <v>38.1</v>
      </c>
      <c r="T42" s="169">
        <f t="shared" si="6"/>
        <v>22.525698920816431</v>
      </c>
      <c r="U42" s="169">
        <f t="shared" si="7"/>
        <v>87.843581042239904</v>
      </c>
    </row>
    <row r="43" spans="1:22">
      <c r="A43" s="82" t="s">
        <v>301</v>
      </c>
      <c r="B43" s="170">
        <f>CONVERT(((70+50+40+30)/4)*0.001,"in","cm")</f>
        <v>0.12065000000000001</v>
      </c>
      <c r="C43" s="170">
        <f t="shared" si="0"/>
        <v>2.162768338168255</v>
      </c>
      <c r="D43" s="170">
        <f t="shared" si="5"/>
        <v>0.46237037150587501</v>
      </c>
      <c r="E43" s="82">
        <v>25.4</v>
      </c>
      <c r="F43" s="82">
        <v>4.0000000000000001E-3</v>
      </c>
      <c r="G43" s="82">
        <v>11.2</v>
      </c>
      <c r="H43" s="173">
        <f t="shared" si="8"/>
        <v>3.5714285714285719E-2</v>
      </c>
      <c r="I43" s="177">
        <f t="shared" si="9"/>
        <v>1.9508409523809526E-4</v>
      </c>
      <c r="J43" s="177">
        <f t="shared" si="1"/>
        <v>1.7751263493803501E-4</v>
      </c>
      <c r="K43" s="177">
        <f t="shared" si="2"/>
        <v>1.4158745881962319E-3</v>
      </c>
      <c r="L43" s="181">
        <f t="shared" si="10"/>
        <v>1.8756105206322766</v>
      </c>
      <c r="M43" s="178">
        <f t="shared" si="3"/>
        <v>0.91530838743303022</v>
      </c>
      <c r="N43" s="178">
        <f t="shared" si="4"/>
        <v>4.5302124259402623</v>
      </c>
      <c r="O43" s="170">
        <f t="shared" si="13"/>
        <v>3.5714285714285719E-2</v>
      </c>
      <c r="P43" s="170">
        <f t="shared" si="11"/>
        <v>4.5750281135546904E-2</v>
      </c>
      <c r="Q43" s="170">
        <f t="shared" si="12"/>
        <v>0.21883171855301783</v>
      </c>
      <c r="R43" s="169">
        <v>3</v>
      </c>
      <c r="S43" s="169">
        <v>38.1</v>
      </c>
      <c r="T43" s="169">
        <f t="shared" si="6"/>
        <v>19.906431604442435</v>
      </c>
      <c r="U43" s="169">
        <f t="shared" si="7"/>
        <v>77.629211153607386</v>
      </c>
    </row>
    <row r="44" spans="1:22">
      <c r="A44" s="82" t="s">
        <v>302</v>
      </c>
      <c r="B44" s="170">
        <f>CONVERT(((57+76+60+34)/4)*0.001,"in","cm")</f>
        <v>0.144145</v>
      </c>
      <c r="C44" s="170">
        <f t="shared" si="0"/>
        <v>1.8102466266606543</v>
      </c>
      <c r="D44" s="170">
        <f t="shared" si="5"/>
        <v>0.55241091753596638</v>
      </c>
      <c r="E44" s="82">
        <v>25.4</v>
      </c>
      <c r="F44" s="82">
        <v>6.0000000000000001E-3</v>
      </c>
      <c r="G44" s="82">
        <v>11.2</v>
      </c>
      <c r="H44" s="173">
        <f t="shared" si="8"/>
        <v>5.3571428571428575E-2</v>
      </c>
      <c r="I44" s="173">
        <f t="shared" si="9"/>
        <v>2.9262614285714288E-4</v>
      </c>
      <c r="J44" s="173">
        <f t="shared" si="1"/>
        <v>4.3210625374139413E-4</v>
      </c>
      <c r="K44" s="173">
        <f t="shared" si="2"/>
        <v>3.4465617857944533E-3</v>
      </c>
      <c r="L44" s="185">
        <f t="shared" si="10"/>
        <v>1.3808448807391727</v>
      </c>
      <c r="M44" s="174">
        <f t="shared" si="3"/>
        <v>1.093552652354199</v>
      </c>
      <c r="N44" s="174">
        <f t="shared" si="4"/>
        <v>5.4124116878338917</v>
      </c>
      <c r="O44" s="170">
        <f t="shared" si="13"/>
        <v>5.3571428571428575E-2</v>
      </c>
      <c r="P44" s="170">
        <f t="shared" si="11"/>
        <v>6.5303773867966652E-2</v>
      </c>
      <c r="Q44" s="170">
        <f t="shared" si="12"/>
        <v>0.31235954640771341</v>
      </c>
      <c r="R44" s="169">
        <v>3</v>
      </c>
      <c r="S44" s="169">
        <v>38.1</v>
      </c>
      <c r="T44" s="169">
        <f t="shared" si="6"/>
        <v>23.782947232675959</v>
      </c>
      <c r="U44" s="169">
        <f t="shared" si="7"/>
        <v>92.746478588783546</v>
      </c>
    </row>
    <row r="45" spans="1:22">
      <c r="A45" s="82" t="s">
        <v>303</v>
      </c>
      <c r="B45" s="170">
        <f>CONVERT(((70+53+46+38)/4)*0.001,"in","cm")</f>
        <v>0.13144500000000003</v>
      </c>
      <c r="C45" s="170">
        <f t="shared" si="0"/>
        <v>1.985149682376659</v>
      </c>
      <c r="D45" s="170">
        <f t="shared" si="5"/>
        <v>0.50374035211429546</v>
      </c>
      <c r="E45" s="82">
        <v>25.4</v>
      </c>
      <c r="F45" s="82">
        <v>6.0000000000000001E-3</v>
      </c>
      <c r="G45" s="82">
        <v>11.2</v>
      </c>
      <c r="H45" s="173">
        <f t="shared" si="8"/>
        <v>5.3571428571428575E-2</v>
      </c>
      <c r="I45" s="177">
        <f t="shared" si="9"/>
        <v>2.9262614285714288E-4</v>
      </c>
      <c r="J45" s="177">
        <f t="shared" si="1"/>
        <v>2.7246642476921613E-4</v>
      </c>
      <c r="K45" s="177">
        <f t="shared" si="2"/>
        <v>2.1732441023258908E-3</v>
      </c>
      <c r="L45" s="181">
        <f t="shared" si="10"/>
        <v>1.9969488508579067</v>
      </c>
      <c r="M45" s="178">
        <f t="shared" si="3"/>
        <v>0.99720440104545927</v>
      </c>
      <c r="N45" s="178">
        <f t="shared" si="4"/>
        <v>4.9355472219454439</v>
      </c>
      <c r="O45" s="170">
        <f t="shared" si="13"/>
        <v>5.3571428571428575E-2</v>
      </c>
      <c r="P45" s="170">
        <f t="shared" si="11"/>
        <v>5.430342926252215E-2</v>
      </c>
      <c r="Q45" s="170">
        <f t="shared" si="12"/>
        <v>0.2597429448276527</v>
      </c>
      <c r="R45" s="169">
        <v>3</v>
      </c>
      <c r="S45" s="169">
        <v>38.1</v>
      </c>
      <c r="T45" s="169">
        <f t="shared" si="6"/>
        <v>21.68753337957676</v>
      </c>
      <c r="U45" s="169">
        <f t="shared" si="7"/>
        <v>84.574982677877529</v>
      </c>
    </row>
    <row r="46" spans="1:22">
      <c r="A46" s="82" t="s">
        <v>304</v>
      </c>
      <c r="B46" s="170">
        <f>CONVERT(((70+80+56+45)/4)*0.001,"in","cm")</f>
        <v>0.159385</v>
      </c>
      <c r="C46" s="170">
        <f t="shared" si="0"/>
        <v>1.6371553157448944</v>
      </c>
      <c r="D46" s="170">
        <f t="shared" si="5"/>
        <v>0.61081559604197166</v>
      </c>
      <c r="E46" s="82">
        <v>19.7</v>
      </c>
      <c r="F46" s="82">
        <v>6.0000000000000001E-3</v>
      </c>
      <c r="G46" s="82">
        <v>8.4</v>
      </c>
      <c r="H46" s="173">
        <f t="shared" si="8"/>
        <v>7.1428571428571425E-2</v>
      </c>
      <c r="I46" s="173">
        <f t="shared" si="9"/>
        <v>1.8203269047619049E-4</v>
      </c>
      <c r="J46" s="173">
        <f t="shared" si="1"/>
        <v>7.1421649023113568E-4</v>
      </c>
      <c r="K46" s="173">
        <f t="shared" si="2"/>
        <v>5.6967267673197729E-3</v>
      </c>
      <c r="L46" s="179">
        <f t="shared" si="10"/>
        <v>0.57463186112974529</v>
      </c>
      <c r="M46" s="170">
        <f t="shared" si="3"/>
        <v>1.2091705539246871</v>
      </c>
      <c r="N46" s="170">
        <f t="shared" si="4"/>
        <v>5.9846490469000306</v>
      </c>
      <c r="O46" s="170">
        <f t="shared" si="13"/>
        <v>7.1428571428571425E-2</v>
      </c>
      <c r="P46" s="170">
        <f t="shared" si="11"/>
        <v>7.9842478166775352E-2</v>
      </c>
      <c r="Q46" s="170">
        <f t="shared" si="12"/>
        <v>0.38190075070799651</v>
      </c>
      <c r="R46" s="169">
        <v>3</v>
      </c>
      <c r="S46" s="169">
        <v>38.1</v>
      </c>
      <c r="T46" s="169">
        <f t="shared" si="6"/>
        <v>26.297443856395006</v>
      </c>
      <c r="U46" s="169">
        <f t="shared" si="7"/>
        <v>102.55227368187079</v>
      </c>
    </row>
    <row r="47" spans="1:22">
      <c r="A47" s="82" t="s">
        <v>305</v>
      </c>
      <c r="B47" s="170">
        <f>CONVERT(((110+60)/2)*0.001,"in","cm")</f>
        <v>0.21589999999999998</v>
      </c>
      <c r="C47" s="170">
        <f t="shared" si="0"/>
        <v>1.2086058360352017</v>
      </c>
      <c r="D47" s="170">
        <f t="shared" si="5"/>
        <v>0.82739961216840774</v>
      </c>
      <c r="E47" s="82">
        <v>32.9</v>
      </c>
      <c r="F47" s="179">
        <f>AVERAGE(0.155,0.132,0.107,0.079)</f>
        <v>0.11825000000000001</v>
      </c>
      <c r="G47" s="82">
        <v>13.2</v>
      </c>
      <c r="H47" s="173">
        <f>F47/(CONVERT(G47,"cm","m"))</f>
        <v>0.89583333333333337</v>
      </c>
      <c r="I47" s="180">
        <f>H47*(CONVERT(E47,"cm","m"))^3/3</f>
        <v>1.063392657638889E-2</v>
      </c>
      <c r="J47" s="180">
        <f t="shared" si="1"/>
        <v>3.2572856875944089E-3</v>
      </c>
      <c r="K47" s="180">
        <f t="shared" si="2"/>
        <v>2.5980731079622073E-2</v>
      </c>
      <c r="L47" s="179">
        <f t="shared" si="10"/>
        <v>9.9704139416097313</v>
      </c>
      <c r="M47" s="170">
        <f t="shared" si="3"/>
        <v>1.6379202722485799</v>
      </c>
      <c r="N47" s="170">
        <f t="shared" si="4"/>
        <v>8.1066959201036255</v>
      </c>
      <c r="O47" s="170">
        <f t="shared" si="13"/>
        <v>0.89583333333333337</v>
      </c>
      <c r="P47" s="170">
        <f t="shared" si="11"/>
        <v>0.14650228529831635</v>
      </c>
      <c r="Q47" s="170">
        <f t="shared" si="12"/>
        <v>0.70074644500633942</v>
      </c>
      <c r="R47" s="169">
        <v>3</v>
      </c>
      <c r="S47" s="169">
        <v>38.1</v>
      </c>
      <c r="T47" s="169">
        <f t="shared" si="6"/>
        <v>35.622035502686458</v>
      </c>
      <c r="U47" s="169">
        <f t="shared" si="7"/>
        <v>138.91543048540265</v>
      </c>
    </row>
    <row r="48" spans="1:22">
      <c r="A48" s="82" t="s">
        <v>306</v>
      </c>
      <c r="B48" s="170">
        <f>CONVERT(((71+61)/2)*0.001,"in","cm")</f>
        <v>0.16764000000000001</v>
      </c>
      <c r="C48" s="170">
        <f t="shared" si="0"/>
        <v>1.5565378191362442</v>
      </c>
      <c r="D48" s="170">
        <f t="shared" si="5"/>
        <v>0.64245146356605787</v>
      </c>
      <c r="E48" s="82">
        <v>32.9</v>
      </c>
      <c r="F48" s="179">
        <f>AVERAGE(0.07,0.06,0.083,0.074)</f>
        <v>7.1750000000000008E-2</v>
      </c>
      <c r="G48" s="82">
        <v>13.2</v>
      </c>
      <c r="H48" s="173">
        <f>F48/(CONVERT(G48,"cm","m"))</f>
        <v>0.54356060606060608</v>
      </c>
      <c r="I48" s="180">
        <f>H48*(CONVERT(E48,"cm","m"))^3/3</f>
        <v>6.4522979438131319E-3</v>
      </c>
      <c r="J48" s="180">
        <f t="shared" si="1"/>
        <v>9.193500417944713E-4</v>
      </c>
      <c r="K48" s="180">
        <f t="shared" si="2"/>
        <v>7.3329110476463791E-3</v>
      </c>
      <c r="L48" s="179">
        <f t="shared" si="10"/>
        <v>16.643087864414969</v>
      </c>
      <c r="M48" s="170">
        <f t="shared" si="3"/>
        <v>1.2717969172753683</v>
      </c>
      <c r="N48" s="170">
        <f t="shared" si="4"/>
        <v>6.294610949727522</v>
      </c>
      <c r="O48" s="170">
        <f t="shared" si="13"/>
        <v>0.54356060606060608</v>
      </c>
      <c r="P48" s="170">
        <f t="shared" si="11"/>
        <v>8.8327190970168334E-2</v>
      </c>
      <c r="Q48" s="170">
        <f t="shared" si="12"/>
        <v>0.42248463867787062</v>
      </c>
      <c r="R48" s="169">
        <v>3</v>
      </c>
      <c r="S48" s="169">
        <v>38.1</v>
      </c>
      <c r="T48" s="169">
        <f t="shared" si="6"/>
        <v>27.659462860909489</v>
      </c>
      <c r="U48" s="169">
        <f t="shared" si="7"/>
        <v>107.86374602395972</v>
      </c>
    </row>
    <row r="49" spans="1:21">
      <c r="A49" s="82" t="s">
        <v>307</v>
      </c>
      <c r="B49" s="170">
        <f>CONVERT(((96+39)/2)*0.001,"in","cm")</f>
        <v>0.17145000000000002</v>
      </c>
      <c r="C49" s="170">
        <f t="shared" si="0"/>
        <v>1.5219480898221054</v>
      </c>
      <c r="D49" s="170">
        <f t="shared" si="5"/>
        <v>0.65705263319255924</v>
      </c>
      <c r="E49" s="82">
        <v>36.200000000000003</v>
      </c>
      <c r="F49" s="179">
        <f>AVERAGE(0.03,0.031,0.036,0.039)</f>
        <v>3.4000000000000002E-2</v>
      </c>
      <c r="G49" s="82">
        <v>14</v>
      </c>
      <c r="H49" s="173">
        <f t="shared" ref="H49:H61" si="14">F49/(CONVERT(G49,"cm","m"))</f>
        <v>0.24285714285714285</v>
      </c>
      <c r="I49" s="177">
        <f t="shared" ref="I49:I61" si="15">H49*(CONVERT(E49,"cm","m"))^3/3</f>
        <v>3.8402132190476202E-3</v>
      </c>
      <c r="J49" s="177">
        <f t="shared" si="1"/>
        <v>1.0286795035460278E-3</v>
      </c>
      <c r="K49" s="177">
        <f t="shared" si="2"/>
        <v>8.2049436592361753E-3</v>
      </c>
      <c r="L49" s="179">
        <f t="shared" si="10"/>
        <v>9.0538955868404241</v>
      </c>
      <c r="M49" s="170">
        <f t="shared" si="3"/>
        <v>1.3007013926679902</v>
      </c>
      <c r="N49" s="170">
        <f t="shared" si="4"/>
        <v>6.437670289494057</v>
      </c>
      <c r="O49" s="178">
        <f t="shared" si="13"/>
        <v>0.24285714285714285</v>
      </c>
      <c r="P49" s="178">
        <f t="shared" si="11"/>
        <v>9.2387686836049018E-2</v>
      </c>
      <c r="Q49" s="178">
        <f t="shared" si="12"/>
        <v>0.44190671142700833</v>
      </c>
      <c r="R49" s="169">
        <v>3</v>
      </c>
      <c r="S49" s="169">
        <v>38.1</v>
      </c>
      <c r="T49" s="169">
        <f t="shared" si="6"/>
        <v>28.288087016839253</v>
      </c>
      <c r="U49" s="169">
        <f t="shared" si="7"/>
        <v>110.31519479723154</v>
      </c>
    </row>
    <row r="50" spans="1:21">
      <c r="A50" s="82" t="s">
        <v>308</v>
      </c>
      <c r="B50" s="170">
        <f>CONVERT(((96+51)/2)*0.001,"in","cm")</f>
        <v>0.18668999999999999</v>
      </c>
      <c r="C50" s="170">
        <f t="shared" si="0"/>
        <v>1.3977074294284644</v>
      </c>
      <c r="D50" s="170">
        <f t="shared" si="5"/>
        <v>0.71545731169856441</v>
      </c>
      <c r="E50" s="82">
        <v>36.200000000000003</v>
      </c>
      <c r="F50" s="179">
        <f>AVERAGE(0.057,0.058,0.072,0.067)</f>
        <v>6.3500000000000001E-2</v>
      </c>
      <c r="G50" s="82">
        <v>14</v>
      </c>
      <c r="H50" s="173">
        <f t="shared" si="14"/>
        <v>0.45357142857142851</v>
      </c>
      <c r="I50" s="177">
        <f t="shared" si="15"/>
        <v>7.1721629238095247E-3</v>
      </c>
      <c r="J50" s="177">
        <f t="shared" si="1"/>
        <v>1.5747003276891278E-3</v>
      </c>
      <c r="K50" s="177">
        <f t="shared" si="2"/>
        <v>1.2560109756568046E-2</v>
      </c>
      <c r="L50" s="179">
        <f t="shared" si="10"/>
        <v>12.028072161885904</v>
      </c>
      <c r="M50" s="170">
        <f t="shared" si="3"/>
        <v>1.4163192942384781</v>
      </c>
      <c r="N50" s="170">
        <f t="shared" si="4"/>
        <v>7.009907648560195</v>
      </c>
      <c r="O50" s="178">
        <f t="shared" si="13"/>
        <v>0.45357142857142851</v>
      </c>
      <c r="P50" s="178">
        <f t="shared" si="11"/>
        <v>0.10954214128066846</v>
      </c>
      <c r="Q50" s="178">
        <f t="shared" si="12"/>
        <v>0.52395951315370204</v>
      </c>
      <c r="R50" s="169">
        <v>3</v>
      </c>
      <c r="S50" s="169">
        <v>38.1</v>
      </c>
      <c r="T50" s="169">
        <f t="shared" si="6"/>
        <v>30.802583640558293</v>
      </c>
      <c r="U50" s="169">
        <f t="shared" si="7"/>
        <v>120.12098989031878</v>
      </c>
    </row>
    <row r="51" spans="1:21">
      <c r="A51" s="82" t="s">
        <v>309</v>
      </c>
      <c r="B51" s="170">
        <f>CONVERT(((120+75)/2)*0.001,"in","cm")</f>
        <v>0.24765000000000001</v>
      </c>
      <c r="C51" s="170">
        <f>$B$7/B51</f>
        <v>1.0536563698768422</v>
      </c>
      <c r="D51" s="170">
        <f t="shared" si="5"/>
        <v>0.94907602572258554</v>
      </c>
      <c r="E51" s="82">
        <v>36.200000000000003</v>
      </c>
      <c r="F51" s="179">
        <f>AVERAGE(0.084,0.091,0.065,0.078)</f>
        <v>7.9500000000000001E-2</v>
      </c>
      <c r="G51" s="82">
        <v>14</v>
      </c>
      <c r="H51" s="173">
        <f t="shared" si="14"/>
        <v>0.56785714285714284</v>
      </c>
      <c r="I51" s="182">
        <f t="shared" si="15"/>
        <v>8.9793220857142877E-3</v>
      </c>
      <c r="J51" s="182">
        <f t="shared" si="1"/>
        <v>6.4682128217262817E-3</v>
      </c>
      <c r="K51" s="182">
        <f t="shared" si="2"/>
        <v>5.1591697506626302E-2</v>
      </c>
      <c r="L51" s="183">
        <f t="shared" si="10"/>
        <v>4.8631797485548729</v>
      </c>
      <c r="M51" s="184">
        <f t="shared" si="3"/>
        <v>1.8787909005204304</v>
      </c>
      <c r="N51" s="184">
        <f t="shared" si="4"/>
        <v>9.2988570848247498</v>
      </c>
      <c r="O51" s="184">
        <f t="shared" si="13"/>
        <v>0.56785714285714284</v>
      </c>
      <c r="P51" s="184">
        <f t="shared" si="11"/>
        <v>0.19275949475669485</v>
      </c>
      <c r="Q51" s="184">
        <f t="shared" si="12"/>
        <v>0.92200289174277039</v>
      </c>
      <c r="R51" s="170">
        <v>3</v>
      </c>
      <c r="S51" s="170">
        <v>38.1</v>
      </c>
      <c r="T51" s="170">
        <f t="shared" si="6"/>
        <v>40.860570135434472</v>
      </c>
      <c r="U51" s="170">
        <f t="shared" si="7"/>
        <v>159.34417026266777</v>
      </c>
    </row>
    <row r="52" spans="1:21">
      <c r="A52" s="82" t="s">
        <v>310</v>
      </c>
      <c r="B52" s="170">
        <f>CONVERT(((88+64)/2)*0.001,"in","cm")</f>
        <v>0.19304000000000002</v>
      </c>
      <c r="C52" s="170">
        <f t="shared" si="0"/>
        <v>1.3517302113551595</v>
      </c>
      <c r="D52" s="170">
        <f t="shared" si="5"/>
        <v>0.73979259440939993</v>
      </c>
      <c r="E52" s="82">
        <v>36.200000000000003</v>
      </c>
      <c r="F52" s="179">
        <f>AVERAGE(0.035,0.041,0.043,0.019)</f>
        <v>3.4500000000000003E-2</v>
      </c>
      <c r="G52" s="82">
        <v>14</v>
      </c>
      <c r="H52" s="173">
        <f t="shared" si="14"/>
        <v>0.24642857142857141</v>
      </c>
      <c r="I52" s="182">
        <f t="shared" si="15"/>
        <v>3.8966869428571434E-3</v>
      </c>
      <c r="J52" s="182">
        <f t="shared" si="1"/>
        <v>1.8613548869278495E-3</v>
      </c>
      <c r="K52" s="182">
        <f t="shared" si="2"/>
        <v>1.4846521121924515E-2</v>
      </c>
      <c r="L52" s="183">
        <f t="shared" si="10"/>
        <v>5.7165812690203337</v>
      </c>
      <c r="M52" s="184">
        <f t="shared" si="3"/>
        <v>1.4644934198928481</v>
      </c>
      <c r="N52" s="184">
        <f t="shared" si="4"/>
        <v>7.2483398815044193</v>
      </c>
      <c r="O52" s="184">
        <f t="shared" si="13"/>
        <v>0.24642857142857141</v>
      </c>
      <c r="P52" s="184">
        <f t="shared" si="11"/>
        <v>0.11712071970700005</v>
      </c>
      <c r="Q52" s="184">
        <f t="shared" si="12"/>
        <v>0.56020919949572556</v>
      </c>
      <c r="R52" s="169">
        <v>3</v>
      </c>
      <c r="S52" s="169">
        <v>38.1</v>
      </c>
      <c r="T52" s="169">
        <f t="shared" si="6"/>
        <v>31.850290567107894</v>
      </c>
      <c r="U52" s="169">
        <f t="shared" si="7"/>
        <v>124.2067378457718</v>
      </c>
    </row>
    <row r="53" spans="1:21">
      <c r="A53" s="82" t="s">
        <v>311</v>
      </c>
      <c r="B53" s="170">
        <f>CONVERT(((120+116)/2)*0.001,"in","cm")</f>
        <v>0.29972000000000004</v>
      </c>
      <c r="C53" s="170">
        <f t="shared" si="0"/>
        <v>0.87060589883891626</v>
      </c>
      <c r="D53" s="170">
        <f t="shared" si="5"/>
        <v>1.1486253439514369</v>
      </c>
      <c r="E53" s="82">
        <v>11.2</v>
      </c>
      <c r="F53" s="179">
        <f>AVERAGE(0.19,0.176,0.141,0.162)</f>
        <v>0.16725000000000001</v>
      </c>
      <c r="G53" s="82">
        <v>4.2</v>
      </c>
      <c r="H53" s="173">
        <f t="shared" si="14"/>
        <v>3.9821428571428572</v>
      </c>
      <c r="I53" s="173">
        <f t="shared" si="15"/>
        <v>1.8648746666666662E-3</v>
      </c>
      <c r="J53" s="173">
        <f t="shared" si="1"/>
        <v>1.679466165487423E-2</v>
      </c>
      <c r="K53" s="173">
        <f t="shared" si="2"/>
        <v>0.13395742034244926</v>
      </c>
      <c r="L53" s="179">
        <f t="shared" si="10"/>
        <v>0.47077875377073336</v>
      </c>
      <c r="M53" s="170">
        <f t="shared" si="3"/>
        <v>2.2738187308862643</v>
      </c>
      <c r="N53" s="170">
        <f t="shared" si="4"/>
        <v>11.254001394967389</v>
      </c>
      <c r="O53" s="170">
        <f t="shared" si="13"/>
        <v>3.9821428571428572</v>
      </c>
      <c r="P53" s="170">
        <f t="shared" si="11"/>
        <v>0.2823387986842571</v>
      </c>
      <c r="Q53" s="170">
        <f t="shared" si="12"/>
        <v>1.3504766090336711</v>
      </c>
      <c r="R53" s="170">
        <v>3</v>
      </c>
      <c r="S53" s="170">
        <v>38.1</v>
      </c>
      <c r="T53" s="170">
        <f t="shared" si="6"/>
        <v>49.451766933141208</v>
      </c>
      <c r="U53" s="170">
        <f t="shared" si="7"/>
        <v>192.84730349738254</v>
      </c>
    </row>
    <row r="54" spans="1:21">
      <c r="A54" s="82" t="s">
        <v>312</v>
      </c>
      <c r="B54" s="170">
        <f>CONVERT(((111+72)/2)*0.001,"in","cm")</f>
        <v>0.23241000000000001</v>
      </c>
      <c r="C54" s="170">
        <f t="shared" si="0"/>
        <v>1.1227485908523729</v>
      </c>
      <c r="D54" s="170">
        <f t="shared" si="5"/>
        <v>0.89067134721658026</v>
      </c>
      <c r="E54" s="82">
        <v>17</v>
      </c>
      <c r="F54" s="179">
        <f>AVERAGE(0.095,0.147,0.077,0.117)</f>
        <v>0.109</v>
      </c>
      <c r="G54" s="82">
        <v>4.5</v>
      </c>
      <c r="H54" s="173">
        <f t="shared" si="14"/>
        <v>2.4222222222222225</v>
      </c>
      <c r="I54" s="173">
        <f t="shared" si="15"/>
        <v>3.9667925925925942E-3</v>
      </c>
      <c r="J54" s="173">
        <f t="shared" si="1"/>
        <v>4.708327815120276E-3</v>
      </c>
      <c r="K54" s="173">
        <f t="shared" si="2"/>
        <v>3.755451947774506E-2</v>
      </c>
      <c r="L54" s="185">
        <f t="shared" si="10"/>
        <v>2.7698123803847028</v>
      </c>
      <c r="M54" s="174">
        <f t="shared" si="3"/>
        <v>1.7631729989499423</v>
      </c>
      <c r="N54" s="174">
        <f t="shared" si="4"/>
        <v>8.72661972575861</v>
      </c>
      <c r="O54" s="170">
        <f t="shared" si="13"/>
        <v>2.4222222222222225</v>
      </c>
      <c r="P54" s="170">
        <f t="shared" si="11"/>
        <v>0.16976522603305599</v>
      </c>
      <c r="Q54" s="170">
        <f t="shared" si="12"/>
        <v>0.81201722134315946</v>
      </c>
      <c r="R54" s="170">
        <v>3</v>
      </c>
      <c r="S54" s="170">
        <v>38.1</v>
      </c>
      <c r="T54" s="170">
        <f t="shared" si="6"/>
        <v>38.346073511715424</v>
      </c>
      <c r="U54" s="170">
        <f t="shared" si="7"/>
        <v>149.53837516958052</v>
      </c>
    </row>
    <row r="55" spans="1:21">
      <c r="A55" s="82" t="s">
        <v>313</v>
      </c>
      <c r="B55" s="170">
        <f>CONVERT(((89+71)/2)*0.001,"in","cm")</f>
        <v>0.20319999999999999</v>
      </c>
      <c r="C55" s="170">
        <f t="shared" si="0"/>
        <v>1.2841437007874017</v>
      </c>
      <c r="D55" s="170">
        <f t="shared" si="5"/>
        <v>0.77872904674673671</v>
      </c>
      <c r="E55" s="82">
        <v>14.1</v>
      </c>
      <c r="F55" s="179">
        <f>AVERAGE(0.045,0.044,0.067,0.032)</f>
        <v>4.7E-2</v>
      </c>
      <c r="G55" s="82">
        <v>7.6</v>
      </c>
      <c r="H55" s="173">
        <f t="shared" si="14"/>
        <v>0.61842105263157898</v>
      </c>
      <c r="I55" s="173">
        <f t="shared" si="15"/>
        <v>5.7785696052631557E-4</v>
      </c>
      <c r="J55" s="173">
        <f t="shared" si="1"/>
        <v>2.4055321043985377E-3</v>
      </c>
      <c r="K55" s="173">
        <f t="shared" si="2"/>
        <v>1.9186982261274053E-2</v>
      </c>
      <c r="L55" s="179">
        <f t="shared" si="10"/>
        <v>0.69048720563962573</v>
      </c>
      <c r="M55" s="170">
        <f t="shared" si="3"/>
        <v>1.54157202093984</v>
      </c>
      <c r="N55" s="170">
        <f t="shared" si="4"/>
        <v>7.6298314542151777</v>
      </c>
      <c r="O55" s="186">
        <f>F55/(CONVERT(G55,"cm","m"))</f>
        <v>0.61842105263157898</v>
      </c>
      <c r="P55" s="174">
        <f t="shared" si="11"/>
        <v>0.12977365064487537</v>
      </c>
      <c r="Q55" s="185">
        <f t="shared" si="12"/>
        <v>0.62073041495371239</v>
      </c>
      <c r="R55" s="187">
        <v>3</v>
      </c>
      <c r="S55" s="187">
        <v>38.1</v>
      </c>
      <c r="T55" s="187">
        <f t="shared" si="6"/>
        <v>33.526621649587256</v>
      </c>
      <c r="U55" s="187">
        <f t="shared" si="7"/>
        <v>130.74393457449662</v>
      </c>
    </row>
    <row r="56" spans="1:21">
      <c r="A56" s="82" t="s">
        <v>314</v>
      </c>
      <c r="B56" s="170">
        <f>CONVERT((65.5)*0.001,"in","cm")</f>
        <v>0.16636999999999999</v>
      </c>
      <c r="C56" s="170">
        <f t="shared" si="0"/>
        <v>1.568419787221254</v>
      </c>
      <c r="D56" s="170">
        <f t="shared" si="5"/>
        <v>0.63758440702389063</v>
      </c>
      <c r="E56" s="82">
        <v>32.9</v>
      </c>
      <c r="F56" s="179">
        <f>AVERAGE(0.056,0.026,0.026,0.05)</f>
        <v>3.95E-2</v>
      </c>
      <c r="G56" s="82">
        <v>17.3</v>
      </c>
      <c r="H56" s="173">
        <f t="shared" si="14"/>
        <v>0.22832369942196529</v>
      </c>
      <c r="I56" s="177">
        <f t="shared" si="15"/>
        <v>2.7103004152215799E-3</v>
      </c>
      <c r="J56" s="177">
        <f t="shared" si="1"/>
        <v>8.8504982878486252E-4</v>
      </c>
      <c r="K56" s="177">
        <f t="shared" si="2"/>
        <v>7.0593260153078334E-3</v>
      </c>
      <c r="L56" s="179">
        <f t="shared" si="10"/>
        <v>7.2068829153570837</v>
      </c>
      <c r="M56" s="170">
        <f t="shared" si="3"/>
        <v>1.2621620921444938</v>
      </c>
      <c r="N56" s="170">
        <f t="shared" si="4"/>
        <v>6.2469245031386755</v>
      </c>
      <c r="O56" s="188">
        <f t="shared" ref="O56:O61" si="16">F56/(CONVERT(G56,"cm","m"))</f>
        <v>0.22832369942196529</v>
      </c>
      <c r="P56" s="178">
        <f t="shared" si="11"/>
        <v>8.6993969481121328E-2</v>
      </c>
      <c r="Q56" s="181">
        <f t="shared" si="12"/>
        <v>0.41610760355549442</v>
      </c>
      <c r="R56" s="187">
        <v>3</v>
      </c>
      <c r="S56" s="187">
        <v>38.1</v>
      </c>
      <c r="T56" s="187">
        <f t="shared" si="6"/>
        <v>27.449921475599563</v>
      </c>
      <c r="U56" s="187">
        <f t="shared" si="7"/>
        <v>107.04659643286909</v>
      </c>
    </row>
    <row r="57" spans="1:21">
      <c r="A57" s="82" t="s">
        <v>315</v>
      </c>
      <c r="B57" s="170">
        <f>CONVERT((65)*0.001,"in","cm")</f>
        <v>0.1651</v>
      </c>
      <c r="C57" s="170">
        <f t="shared" si="0"/>
        <v>1.5804845548152635</v>
      </c>
      <c r="D57" s="170">
        <f t="shared" si="5"/>
        <v>0.63271735048172362</v>
      </c>
      <c r="E57" s="82">
        <v>18</v>
      </c>
      <c r="F57" s="179">
        <f>AVERAGE(0.059,0.041,0.048,0.073)</f>
        <v>5.5250000000000007E-2</v>
      </c>
      <c r="G57" s="82">
        <v>8.4</v>
      </c>
      <c r="H57" s="173">
        <f t="shared" si="14"/>
        <v>0.65773809523809523</v>
      </c>
      <c r="I57" s="177">
        <f t="shared" si="15"/>
        <v>1.2786428571428569E-3</v>
      </c>
      <c r="J57" s="177">
        <f t="shared" si="1"/>
        <v>8.517811123260943E-4</v>
      </c>
      <c r="K57" s="177">
        <f t="shared" si="2"/>
        <v>6.7939683959343244E-3</v>
      </c>
      <c r="L57" s="181">
        <f t="shared" si="10"/>
        <v>3.5058317120143672</v>
      </c>
      <c r="M57" s="178">
        <f t="shared" si="3"/>
        <v>1.25252726701362</v>
      </c>
      <c r="N57" s="178">
        <f t="shared" si="4"/>
        <v>6.1992380565498317</v>
      </c>
      <c r="O57" s="189">
        <f t="shared" si="16"/>
        <v>0.65773809523809523</v>
      </c>
      <c r="P57" s="170">
        <f t="shared" si="11"/>
        <v>8.5670886558531029E-2</v>
      </c>
      <c r="Q57" s="179">
        <f t="shared" si="12"/>
        <v>0.40977906299678674</v>
      </c>
      <c r="R57" s="187">
        <v>3</v>
      </c>
      <c r="S57" s="187">
        <v>38.1</v>
      </c>
      <c r="T57" s="187">
        <f t="shared" si="6"/>
        <v>27.240380090289644</v>
      </c>
      <c r="U57" s="187">
        <f t="shared" si="7"/>
        <v>106.22944684177851</v>
      </c>
    </row>
    <row r="58" spans="1:21">
      <c r="A58" s="82" t="s">
        <v>316</v>
      </c>
      <c r="B58" s="170">
        <f>CONVERT((141)*0.001,"in","cm")</f>
        <v>0.35814000000000001</v>
      </c>
      <c r="C58" s="170">
        <f t="shared" si="0"/>
        <v>0.72859217065951865</v>
      </c>
      <c r="D58" s="170">
        <f t="shared" si="5"/>
        <v>1.3725099448911235</v>
      </c>
      <c r="E58" s="82">
        <v>36.200000000000003</v>
      </c>
      <c r="F58" s="179">
        <f>AVERAGE(0.068,0.064,0.04,0.069)</f>
        <v>6.0250000000000005E-2</v>
      </c>
      <c r="G58" s="82">
        <v>17.3</v>
      </c>
      <c r="H58" s="173">
        <f t="shared" si="14"/>
        <v>0.34826589595375723</v>
      </c>
      <c r="I58" s="173">
        <f t="shared" si="15"/>
        <v>5.5070041657032769E-3</v>
      </c>
      <c r="J58" s="173">
        <f t="shared" si="1"/>
        <v>4.0912572292861271E-2</v>
      </c>
      <c r="K58" s="173">
        <f t="shared" si="2"/>
        <v>0.32632646947877447</v>
      </c>
      <c r="L58" s="179">
        <f t="shared" si="10"/>
        <v>0.68192119514630212</v>
      </c>
      <c r="M58" s="170">
        <f t="shared" si="3"/>
        <v>2.7170206869064684</v>
      </c>
      <c r="N58" s="170">
        <f t="shared" si="4"/>
        <v>13.44757793805425</v>
      </c>
      <c r="O58" s="189">
        <f t="shared" si="16"/>
        <v>0.34826589595375723</v>
      </c>
      <c r="P58" s="170">
        <f t="shared" si="11"/>
        <v>0.40312967944855749</v>
      </c>
      <c r="Q58" s="179">
        <f t="shared" si="12"/>
        <v>1.9282408405773059</v>
      </c>
      <c r="R58" s="170">
        <v>3</v>
      </c>
      <c r="S58" s="170">
        <v>38.1</v>
      </c>
      <c r="T58" s="170">
        <f t="shared" si="6"/>
        <v>59.090670657397538</v>
      </c>
      <c r="U58" s="170">
        <f t="shared" si="7"/>
        <v>230.43618468755031</v>
      </c>
    </row>
    <row r="59" spans="1:21">
      <c r="A59" s="82" t="s">
        <v>317</v>
      </c>
      <c r="B59" s="170">
        <f>CONVERT(((81+90)/2)*0.001,"in","cm")</f>
        <v>0.21717</v>
      </c>
      <c r="C59" s="170">
        <f t="shared" si="0"/>
        <v>1.2015379656490308</v>
      </c>
      <c r="D59" s="170">
        <f t="shared" si="5"/>
        <v>0.83226666871057486</v>
      </c>
      <c r="E59" s="82">
        <v>17</v>
      </c>
      <c r="F59" s="179">
        <f>AVERAGE(0.034,0.095,0.071,0.075)</f>
        <v>6.8750000000000006E-2</v>
      </c>
      <c r="G59" s="3">
        <v>8.4</v>
      </c>
      <c r="H59" s="173">
        <f t="shared" si="14"/>
        <v>0.81845238095238093</v>
      </c>
      <c r="I59" s="173">
        <f t="shared" si="15"/>
        <v>1.3403521825396828E-3</v>
      </c>
      <c r="J59" s="173">
        <f t="shared" si="1"/>
        <v>3.3542219457459266E-3</v>
      </c>
      <c r="K59" s="173">
        <f t="shared" si="2"/>
        <v>2.6753913138687753E-2</v>
      </c>
      <c r="L59" s="179">
        <f t="shared" si="10"/>
        <v>1.2275797104296424</v>
      </c>
      <c r="M59" s="170">
        <f t="shared" si="3"/>
        <v>1.6475550973794539</v>
      </c>
      <c r="N59" s="170">
        <f t="shared" si="4"/>
        <v>8.1543823666924702</v>
      </c>
      <c r="O59" s="189">
        <f t="shared" si="16"/>
        <v>0.81845238095238093</v>
      </c>
      <c r="P59" s="170">
        <f t="shared" si="11"/>
        <v>0.14823091087917192</v>
      </c>
      <c r="Q59" s="179">
        <f t="shared" si="12"/>
        <v>0.70901476811177755</v>
      </c>
      <c r="R59" s="187">
        <v>3</v>
      </c>
      <c r="S59" s="187">
        <v>38.1</v>
      </c>
      <c r="T59" s="187">
        <f t="shared" si="6"/>
        <v>35.831576887996377</v>
      </c>
      <c r="U59" s="187">
        <f t="shared" si="7"/>
        <v>139.73258007649326</v>
      </c>
    </row>
    <row r="60" spans="1:21">
      <c r="A60" s="82" t="s">
        <v>318</v>
      </c>
      <c r="B60" s="170">
        <f>CONVERT(((105+89)/2)*0.001,"in","cm")</f>
        <v>0.24637999999999999</v>
      </c>
      <c r="C60" s="170">
        <f t="shared" si="0"/>
        <v>1.0590875882782693</v>
      </c>
      <c r="D60" s="170">
        <f t="shared" si="5"/>
        <v>0.9442089691804183</v>
      </c>
      <c r="E60" s="82">
        <v>36.200000000000003</v>
      </c>
      <c r="F60" s="179">
        <f>AVERAGE(0.113,0.095,0.193,0.082)</f>
        <v>0.12075000000000001</v>
      </c>
      <c r="G60" s="3">
        <v>22.9</v>
      </c>
      <c r="H60" s="173">
        <f t="shared" si="14"/>
        <v>0.52729257641921401</v>
      </c>
      <c r="I60" s="182">
        <f t="shared" si="15"/>
        <v>8.3378890917030594E-3</v>
      </c>
      <c r="J60" s="182">
        <f t="shared" si="1"/>
        <v>6.3040535521263113E-3</v>
      </c>
      <c r="K60" s="182">
        <f t="shared" si="2"/>
        <v>5.0282331903864629E-2</v>
      </c>
      <c r="L60" s="183">
        <f t="shared" si="10"/>
        <v>4.609612426588277</v>
      </c>
      <c r="M60" s="184">
        <f t="shared" si="3"/>
        <v>1.8691560753895562</v>
      </c>
      <c r="N60" s="184">
        <f t="shared" si="4"/>
        <v>9.2511706382359034</v>
      </c>
      <c r="O60" s="190">
        <f t="shared" si="16"/>
        <v>0.52729257641921401</v>
      </c>
      <c r="P60" s="184">
        <f t="shared" si="11"/>
        <v>0.1907875435808801</v>
      </c>
      <c r="Q60" s="183">
        <f t="shared" si="12"/>
        <v>0.91257069910929389</v>
      </c>
      <c r="R60" s="170">
        <v>3</v>
      </c>
      <c r="S60" s="170">
        <v>38.1</v>
      </c>
      <c r="T60" s="170">
        <f t="shared" si="6"/>
        <v>40.651028750124546</v>
      </c>
      <c r="U60" s="170">
        <f t="shared" si="7"/>
        <v>158.52702067157716</v>
      </c>
    </row>
    <row r="61" spans="1:21">
      <c r="A61" s="82" t="s">
        <v>319</v>
      </c>
      <c r="B61" s="170">
        <f>CONVERT((123)*0.001,"in","cm")</f>
        <v>0.31242000000000003</v>
      </c>
      <c r="C61" s="170">
        <f t="shared" si="0"/>
        <v>0.8352154151462774</v>
      </c>
      <c r="D61" s="170">
        <f t="shared" si="5"/>
        <v>1.1972959093731079</v>
      </c>
      <c r="E61" s="82">
        <v>36.200000000000003</v>
      </c>
      <c r="F61" s="179">
        <f>AVERAGE(0.136,0.094,0.138,0.069)</f>
        <v>0.10925</v>
      </c>
      <c r="G61" s="3">
        <v>17.3</v>
      </c>
      <c r="H61" s="173">
        <f t="shared" si="14"/>
        <v>0.63150289017341033</v>
      </c>
      <c r="I61" s="173">
        <f t="shared" si="15"/>
        <v>9.9857295452793846E-3</v>
      </c>
      <c r="J61" s="173">
        <f t="shared" si="1"/>
        <v>2.0667444480222626E-2</v>
      </c>
      <c r="K61" s="173">
        <f t="shared" si="2"/>
        <v>0.16484747383034715</v>
      </c>
      <c r="L61" s="179">
        <f t="shared" si="10"/>
        <v>2.1352788011506929</v>
      </c>
      <c r="M61" s="170">
        <f t="shared" si="3"/>
        <v>2.3701669821950047</v>
      </c>
      <c r="N61" s="170">
        <f t="shared" si="4"/>
        <v>11.730865860855838</v>
      </c>
      <c r="O61" s="186">
        <f t="shared" si="16"/>
        <v>0.63150289017341033</v>
      </c>
      <c r="P61" s="174">
        <f t="shared" si="11"/>
        <v>0.30677274384473757</v>
      </c>
      <c r="Q61" s="185">
        <f t="shared" si="12"/>
        <v>1.4673485074741748</v>
      </c>
      <c r="R61" s="170">
        <v>3</v>
      </c>
      <c r="S61" s="170">
        <v>38.1</v>
      </c>
      <c r="T61" s="170">
        <f t="shared" si="6"/>
        <v>51.547180786240411</v>
      </c>
      <c r="U61" s="170">
        <f t="shared" si="7"/>
        <v>201.0187994082886</v>
      </c>
    </row>
    <row r="63" spans="1:21">
      <c r="B63" s="191"/>
      <c r="C63" s="89"/>
      <c r="D63" s="89"/>
      <c r="E63" s="23"/>
      <c r="F63" s="23"/>
      <c r="G63" s="23"/>
      <c r="H63" s="192"/>
      <c r="I63" s="193"/>
      <c r="J63" s="23"/>
      <c r="K63" s="23"/>
      <c r="L63" s="193"/>
      <c r="M63" s="23"/>
    </row>
    <row r="64" spans="1:2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2:13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2:13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2:13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2:13">
      <c r="B68" s="23"/>
      <c r="C68" s="23"/>
      <c r="D68" s="23"/>
      <c r="E68" s="23"/>
      <c r="F68" s="23"/>
      <c r="G68" s="23"/>
      <c r="H68" s="23"/>
      <c r="I68" s="24"/>
      <c r="J68" s="23"/>
      <c r="K68" s="23"/>
      <c r="L68" s="23"/>
      <c r="M68" s="23"/>
    </row>
    <row r="69" spans="2:13">
      <c r="B69" s="23"/>
      <c r="C69" s="23"/>
      <c r="D69" s="23"/>
      <c r="E69" s="23"/>
      <c r="F69" s="23"/>
      <c r="G69" s="23"/>
      <c r="H69" s="23"/>
      <c r="I69" s="24"/>
      <c r="J69" s="23"/>
      <c r="K69" s="23"/>
      <c r="L69" s="23"/>
      <c r="M69" s="23"/>
    </row>
    <row r="70" spans="2:13">
      <c r="B70" s="23"/>
      <c r="C70" s="23"/>
      <c r="D70" s="23"/>
      <c r="E70" s="23"/>
      <c r="F70" s="23"/>
      <c r="G70" s="23"/>
      <c r="H70" s="23"/>
      <c r="I70" s="24"/>
      <c r="J70" s="23"/>
      <c r="K70" s="23"/>
      <c r="L70" s="23"/>
      <c r="M70" s="23"/>
    </row>
    <row r="71" spans="2:13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3">
      <c r="B73" s="23"/>
      <c r="C73" s="23"/>
      <c r="D73" s="23"/>
      <c r="E73" s="23"/>
      <c r="F73" s="23"/>
      <c r="G73" s="263"/>
      <c r="H73" s="263"/>
      <c r="I73" s="23"/>
      <c r="J73" s="23"/>
      <c r="K73" s="23"/>
      <c r="L73" s="23"/>
      <c r="M73" s="23"/>
    </row>
    <row r="74" spans="2:13">
      <c r="B74" s="23"/>
      <c r="C74" s="23"/>
      <c r="D74" s="23"/>
      <c r="E74" s="23"/>
      <c r="F74" s="23"/>
      <c r="G74" s="194"/>
      <c r="H74" s="194"/>
      <c r="I74" s="23"/>
      <c r="J74" s="23"/>
      <c r="K74" s="23"/>
      <c r="L74" s="23"/>
      <c r="M74" s="23"/>
    </row>
    <row r="75" spans="2:13">
      <c r="B75" s="23"/>
      <c r="C75" s="23"/>
      <c r="D75" s="23"/>
      <c r="E75" s="23"/>
      <c r="F75" s="23"/>
      <c r="G75" s="36"/>
      <c r="H75" s="36"/>
      <c r="I75" s="24"/>
      <c r="J75" s="23"/>
      <c r="K75" s="36"/>
      <c r="L75" s="36"/>
      <c r="M75" s="23"/>
    </row>
    <row r="76" spans="2:13">
      <c r="B76" s="23"/>
      <c r="C76" s="23"/>
      <c r="D76" s="23"/>
      <c r="E76" s="23"/>
      <c r="F76" s="23"/>
      <c r="G76" s="36"/>
      <c r="H76" s="36"/>
      <c r="I76" s="24"/>
      <c r="J76" s="23"/>
      <c r="K76" s="36"/>
      <c r="L76" s="36"/>
      <c r="M76" s="23"/>
    </row>
    <row r="77" spans="2:13">
      <c r="B77" s="23"/>
      <c r="C77" s="23"/>
      <c r="D77" s="23"/>
      <c r="E77" s="23"/>
      <c r="F77" s="23"/>
      <c r="G77" s="36"/>
      <c r="H77" s="36"/>
      <c r="I77" s="24"/>
      <c r="J77" s="23"/>
      <c r="K77" s="36"/>
      <c r="L77" s="36"/>
      <c r="M77" s="23"/>
    </row>
    <row r="78" spans="2:13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2:13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2:13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</sheetData>
  <mergeCells count="1">
    <mergeCell ref="G73:H73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"/>
  <sheetViews>
    <sheetView workbookViewId="0">
      <selection activeCell="M12" sqref="M12"/>
    </sheetView>
  </sheetViews>
  <sheetFormatPr defaultRowHeight="15"/>
  <cols>
    <col min="4" max="4" width="8" bestFit="1" customWidth="1"/>
    <col min="5" max="5" width="12" bestFit="1" customWidth="1"/>
    <col min="6" max="6" width="9.85546875" bestFit="1" customWidth="1"/>
    <col min="7" max="7" width="8.140625" bestFit="1" customWidth="1"/>
    <col min="8" max="8" width="10.7109375" bestFit="1" customWidth="1"/>
    <col min="9" max="9" width="9.85546875" bestFit="1" customWidth="1"/>
    <col min="12" max="13" width="13.7109375" bestFit="1" customWidth="1"/>
  </cols>
  <sheetData>
    <row r="1" spans="2:15">
      <c r="D1" s="23"/>
      <c r="E1" s="23"/>
      <c r="F1" s="23"/>
      <c r="G1" s="23"/>
      <c r="H1" s="23"/>
      <c r="I1" s="23"/>
      <c r="J1" s="23"/>
      <c r="K1" s="23"/>
      <c r="L1" s="23"/>
      <c r="M1" s="133"/>
      <c r="N1" s="134"/>
      <c r="O1" s="36"/>
    </row>
    <row r="11" spans="2:15">
      <c r="B11" t="s">
        <v>77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workbookViewId="0"/>
  </sheetViews>
  <sheetFormatPr defaultRowHeight="15"/>
  <cols>
    <col min="1" max="1" width="12.28515625" customWidth="1"/>
    <col min="3" max="3" width="13.28515625" customWidth="1"/>
    <col min="4" max="4" width="13.42578125" customWidth="1"/>
    <col min="5" max="5" width="11.85546875" customWidth="1"/>
    <col min="9" max="9" width="12" customWidth="1"/>
    <col min="12" max="12" width="13.140625" customWidth="1"/>
    <col min="13" max="13" width="10.140625" customWidth="1"/>
    <col min="17" max="17" width="11.85546875" customWidth="1"/>
    <col min="18" max="18" width="9.140625" customWidth="1"/>
    <col min="19" max="19" width="10.85546875" customWidth="1"/>
    <col min="20" max="20" width="10.42578125" customWidth="1"/>
    <col min="21" max="21" width="10.28515625" customWidth="1"/>
  </cols>
  <sheetData>
    <row r="1" spans="1:23">
      <c r="A1" t="s">
        <v>374</v>
      </c>
    </row>
    <row r="2" spans="1:23" ht="15.75" thickBot="1">
      <c r="A2" s="9" t="s">
        <v>60</v>
      </c>
      <c r="B2" s="9"/>
      <c r="C2" s="28">
        <v>42223</v>
      </c>
      <c r="I2" s="9" t="s">
        <v>60</v>
      </c>
      <c r="J2" s="9"/>
      <c r="K2" s="38">
        <v>42223</v>
      </c>
      <c r="Q2" s="9" t="s">
        <v>60</v>
      </c>
      <c r="R2" s="9"/>
      <c r="S2" s="38">
        <v>42223</v>
      </c>
    </row>
    <row r="3" spans="1:23" ht="15.75" thickBot="1">
      <c r="A3" s="16" t="s">
        <v>21</v>
      </c>
      <c r="B3" s="17" t="s">
        <v>22</v>
      </c>
      <c r="I3" s="16" t="s">
        <v>21</v>
      </c>
      <c r="J3" s="17" t="s">
        <v>39</v>
      </c>
      <c r="Q3" s="16" t="s">
        <v>21</v>
      </c>
      <c r="R3" s="17" t="s">
        <v>31</v>
      </c>
    </row>
    <row r="4" spans="1:23" ht="18">
      <c r="A4" s="18" t="s">
        <v>5</v>
      </c>
      <c r="B4" s="8">
        <v>5.0000000000000001E-3</v>
      </c>
      <c r="D4" s="16" t="s">
        <v>34</v>
      </c>
      <c r="E4" s="17">
        <v>8.5</v>
      </c>
      <c r="I4" s="18" t="s">
        <v>5</v>
      </c>
      <c r="J4" s="8">
        <v>5.0000000000000001E-3</v>
      </c>
      <c r="L4" s="16" t="s">
        <v>34</v>
      </c>
      <c r="M4" s="17">
        <f>14+1/16</f>
        <v>14.0625</v>
      </c>
      <c r="Q4" s="18" t="s">
        <v>5</v>
      </c>
      <c r="R4" s="8">
        <v>5.0000000000000001E-3</v>
      </c>
      <c r="T4" s="16" t="s">
        <v>34</v>
      </c>
      <c r="U4" s="17">
        <f>5+15/16</f>
        <v>5.9375</v>
      </c>
    </row>
    <row r="5" spans="1:23" ht="18">
      <c r="A5" s="18" t="s">
        <v>14</v>
      </c>
      <c r="B5" s="26">
        <v>5</v>
      </c>
      <c r="C5" t="s">
        <v>15</v>
      </c>
      <c r="D5" s="18" t="s">
        <v>35</v>
      </c>
      <c r="E5" s="8">
        <f>8+10/16</f>
        <v>8.625</v>
      </c>
      <c r="I5" s="18" t="s">
        <v>14</v>
      </c>
      <c r="J5" s="26">
        <v>5</v>
      </c>
      <c r="K5" t="s">
        <v>15</v>
      </c>
      <c r="L5" s="18" t="s">
        <v>35</v>
      </c>
      <c r="M5" s="8">
        <f>14+1/8</f>
        <v>14.125</v>
      </c>
      <c r="Q5" s="18" t="s">
        <v>14</v>
      </c>
      <c r="R5" s="26">
        <v>5</v>
      </c>
      <c r="S5" t="s">
        <v>15</v>
      </c>
      <c r="T5" s="18" t="s">
        <v>35</v>
      </c>
      <c r="U5" s="8">
        <f>5+15/16</f>
        <v>5.9375</v>
      </c>
      <c r="W5" t="s">
        <v>232</v>
      </c>
    </row>
    <row r="6" spans="1:23" ht="18">
      <c r="A6" s="18" t="s">
        <v>23</v>
      </c>
      <c r="B6" s="8">
        <v>1</v>
      </c>
      <c r="D6" s="32" t="s">
        <v>38</v>
      </c>
      <c r="E6" s="25">
        <f>E7/0.3048</f>
        <v>0.61379046369203849</v>
      </c>
      <c r="G6" t="s">
        <v>232</v>
      </c>
      <c r="I6" s="18" t="s">
        <v>23</v>
      </c>
      <c r="J6" s="8">
        <v>1</v>
      </c>
      <c r="L6" s="32" t="s">
        <v>38</v>
      </c>
      <c r="M6" s="25">
        <f>M7/0.3048</f>
        <v>0.37073490813648302</v>
      </c>
      <c r="O6" t="s">
        <v>232</v>
      </c>
      <c r="Q6" s="18" t="s">
        <v>23</v>
      </c>
      <c r="R6" s="8">
        <v>1</v>
      </c>
      <c r="T6" s="32" t="s">
        <v>38</v>
      </c>
      <c r="U6" s="25">
        <f>U7/0.3048</f>
        <v>0.92752077865266835</v>
      </c>
      <c r="W6">
        <f>CONVERT(R7,"in","m")</f>
        <v>0.15081249999999999</v>
      </c>
    </row>
    <row r="7" spans="1:23" ht="18">
      <c r="A7" s="18" t="s">
        <v>0</v>
      </c>
      <c r="B7" s="8">
        <f>AVERAGE(E4:E5)</f>
        <v>8.5625</v>
      </c>
      <c r="D7" s="32" t="s">
        <v>25</v>
      </c>
      <c r="E7" s="25">
        <f>AVERAGE(E29,E45,E61)</f>
        <v>0.18708333333333335</v>
      </c>
      <c r="G7">
        <f>CONVERT(B7,"in","m")</f>
        <v>0.2174875</v>
      </c>
      <c r="I7" s="18" t="s">
        <v>0</v>
      </c>
      <c r="J7" s="26">
        <f>AVERAGE(M4:M5)</f>
        <v>14.09375</v>
      </c>
      <c r="L7" s="32" t="s">
        <v>25</v>
      </c>
      <c r="M7" s="25">
        <f>AVERAGE(M33,M53,M73)</f>
        <v>0.11300000000000003</v>
      </c>
      <c r="O7">
        <f>CONVERT(J7,"in","m")</f>
        <v>0.35798124999999997</v>
      </c>
      <c r="Q7" s="18" t="s">
        <v>0</v>
      </c>
      <c r="R7" s="26">
        <f>AVERAGE(U4:U5)</f>
        <v>5.9375</v>
      </c>
      <c r="T7" s="32" t="s">
        <v>25</v>
      </c>
      <c r="U7" s="25">
        <f>AVERAGE(U29,U45,U61)</f>
        <v>0.28270833333333334</v>
      </c>
      <c r="W7">
        <f>W6/4</f>
        <v>3.7703124999999997E-2</v>
      </c>
    </row>
    <row r="8" spans="1:23" ht="18.75">
      <c r="A8" s="18" t="s">
        <v>26</v>
      </c>
      <c r="B8" s="25">
        <f>B6*B7/12</f>
        <v>0.71354166666666663</v>
      </c>
      <c r="D8" s="32" t="s">
        <v>37</v>
      </c>
      <c r="E8" s="25">
        <f>E9/0.3048^3</f>
        <v>0.43796507044692329</v>
      </c>
      <c r="G8">
        <f>G7/4</f>
        <v>5.4371875E-2</v>
      </c>
      <c r="I8" s="18" t="s">
        <v>26</v>
      </c>
      <c r="J8" s="25">
        <f>J6*J7/12</f>
        <v>1.1744791666666667</v>
      </c>
      <c r="L8" s="32" t="s">
        <v>37</v>
      </c>
      <c r="M8" s="25">
        <f>M9/0.3048^3</f>
        <v>0.43542042596237973</v>
      </c>
      <c r="O8">
        <f>O7/5</f>
        <v>7.159625E-2</v>
      </c>
      <c r="Q8" s="18" t="s">
        <v>26</v>
      </c>
      <c r="R8" s="25">
        <f>R6*R7/12</f>
        <v>0.49479166666666669</v>
      </c>
      <c r="T8" s="32" t="s">
        <v>37</v>
      </c>
      <c r="U8" s="25">
        <f>U9/0.3048^3</f>
        <v>0.45892955193751822</v>
      </c>
      <c r="W8" s="12">
        <f>W6-0.5*W7</f>
        <v>0.13196093749999999</v>
      </c>
    </row>
    <row r="9" spans="1:23" ht="18.75" thickBot="1">
      <c r="A9" s="18" t="s">
        <v>27</v>
      </c>
      <c r="B9" s="26">
        <v>1.75</v>
      </c>
      <c r="D9" s="33" t="s">
        <v>36</v>
      </c>
      <c r="E9" s="44">
        <f>AVERAGE(F29,F45,F61)</f>
        <v>1.2401789712500002E-2</v>
      </c>
      <c r="G9" s="12">
        <f>G7-0.5*G8</f>
        <v>0.19030156249999999</v>
      </c>
      <c r="H9" s="59">
        <v>1</v>
      </c>
      <c r="I9" s="18" t="s">
        <v>27</v>
      </c>
      <c r="J9" s="26">
        <v>1.75</v>
      </c>
      <c r="L9" s="33" t="s">
        <v>36</v>
      </c>
      <c r="M9" s="34">
        <f>AVERAGE(N33,N53,N73)</f>
        <v>1.2329733405000003E-2</v>
      </c>
      <c r="O9" s="12">
        <f>O7-0.5*O8</f>
        <v>0.32218312499999996</v>
      </c>
      <c r="Q9" s="18" t="s">
        <v>27</v>
      </c>
      <c r="R9" s="26">
        <f>1+10/16</f>
        <v>1.625</v>
      </c>
      <c r="T9" s="33" t="s">
        <v>36</v>
      </c>
      <c r="U9" s="34">
        <f>AVERAGE(V29,V45,V61)</f>
        <v>1.2995437718750003E-2</v>
      </c>
      <c r="W9" s="12">
        <f>W6-1.5*W7</f>
        <v>9.4257812499999996E-2</v>
      </c>
    </row>
    <row r="10" spans="1:23" ht="18">
      <c r="A10" s="18" t="s">
        <v>28</v>
      </c>
      <c r="B10" s="25">
        <f>SQRT(32.2)*B6*(B9/12)^(3/2)</f>
        <v>0.31601896021851694</v>
      </c>
      <c r="G10" s="12">
        <f>G7-1.5*G8</f>
        <v>0.13592968750000001</v>
      </c>
      <c r="H10" s="59">
        <v>2</v>
      </c>
      <c r="I10" s="18" t="s">
        <v>28</v>
      </c>
      <c r="J10" s="25">
        <f>SQRT(32.2)*J6*(J9/12)^(3/2)</f>
        <v>0.31601896021851694</v>
      </c>
      <c r="O10" s="12">
        <f>O7-1.5*O8</f>
        <v>0.25058687499999999</v>
      </c>
      <c r="Q10" s="18" t="s">
        <v>28</v>
      </c>
      <c r="R10" s="25">
        <f>SQRT(32.2)*R6*(R9/12)^(3/2)</f>
        <v>0.28277181196466955</v>
      </c>
      <c r="W10" s="12">
        <f>W6-2.5*W7</f>
        <v>5.6554687499999992E-2</v>
      </c>
    </row>
    <row r="11" spans="1:23" ht="18.75" thickBot="1">
      <c r="A11" s="27" t="s">
        <v>29</v>
      </c>
      <c r="B11" s="34">
        <f>B10*0.3048^3</f>
        <v>8.9486604166710958E-3</v>
      </c>
      <c r="D11" s="11"/>
      <c r="G11" s="12">
        <f>G7-2.5*G8</f>
        <v>8.1557812499999993E-2</v>
      </c>
      <c r="H11" s="59">
        <v>3</v>
      </c>
      <c r="I11" s="27" t="s">
        <v>29</v>
      </c>
      <c r="J11" s="34">
        <f>J10*0.3048^3</f>
        <v>8.9486604166710958E-3</v>
      </c>
      <c r="L11" s="11"/>
      <c r="O11" s="12">
        <f>O7-2.5*O8</f>
        <v>0.17899062499999996</v>
      </c>
      <c r="Q11" s="27" t="s">
        <v>29</v>
      </c>
      <c r="R11" s="34">
        <f>R10*0.3048^3</f>
        <v>8.0072060199454197E-3</v>
      </c>
      <c r="T11" s="11"/>
      <c r="W11" s="12">
        <f>W6-3.5*W7</f>
        <v>1.8851562500000002E-2</v>
      </c>
    </row>
    <row r="12" spans="1:23" ht="15.75" thickBot="1">
      <c r="G12" s="12">
        <f>G7-3.5*G8</f>
        <v>2.7185937500000007E-2</v>
      </c>
      <c r="H12" s="59">
        <v>4</v>
      </c>
      <c r="O12" s="12">
        <f>O7-3.5*O8</f>
        <v>0.10739437499999999</v>
      </c>
    </row>
    <row r="13" spans="1:23" ht="18.75" thickBot="1">
      <c r="A13" s="60" t="s">
        <v>7</v>
      </c>
      <c r="B13" s="61" t="s">
        <v>10</v>
      </c>
      <c r="C13" s="61" t="s">
        <v>8</v>
      </c>
      <c r="D13" s="61" t="s">
        <v>9</v>
      </c>
      <c r="E13" s="61" t="s">
        <v>25</v>
      </c>
      <c r="F13" s="62" t="s">
        <v>3</v>
      </c>
      <c r="G13" s="12"/>
      <c r="H13" s="59"/>
      <c r="I13" s="60" t="s">
        <v>7</v>
      </c>
      <c r="J13" s="61" t="s">
        <v>10</v>
      </c>
      <c r="K13" s="61" t="s">
        <v>8</v>
      </c>
      <c r="L13" s="61" t="s">
        <v>9</v>
      </c>
      <c r="M13" s="61" t="s">
        <v>25</v>
      </c>
      <c r="N13" s="62" t="s">
        <v>3</v>
      </c>
      <c r="O13" s="12">
        <f>O7-4.5*O8</f>
        <v>3.5798124999999958E-2</v>
      </c>
      <c r="Q13" s="60" t="s">
        <v>7</v>
      </c>
      <c r="R13" s="61" t="s">
        <v>10</v>
      </c>
      <c r="S13" s="61" t="s">
        <v>8</v>
      </c>
      <c r="T13" s="61" t="s">
        <v>9</v>
      </c>
      <c r="U13" s="61" t="s">
        <v>25</v>
      </c>
      <c r="V13" s="62" t="s">
        <v>3</v>
      </c>
    </row>
    <row r="14" spans="1:23">
      <c r="A14" s="71" t="s">
        <v>32</v>
      </c>
      <c r="B14" s="72" t="s">
        <v>53</v>
      </c>
      <c r="C14" s="72">
        <v>0.19</v>
      </c>
      <c r="D14" s="72">
        <v>0.18</v>
      </c>
      <c r="E14" s="73" t="s">
        <v>30</v>
      </c>
      <c r="F14" s="74" t="s">
        <v>30</v>
      </c>
      <c r="I14" s="71" t="s">
        <v>32</v>
      </c>
      <c r="J14" s="72" t="s">
        <v>53</v>
      </c>
      <c r="K14" s="72">
        <v>0.32</v>
      </c>
      <c r="L14" s="72">
        <v>0.12</v>
      </c>
      <c r="M14" s="73" t="s">
        <v>30</v>
      </c>
      <c r="N14" s="74" t="s">
        <v>30</v>
      </c>
      <c r="Q14" s="71" t="s">
        <v>32</v>
      </c>
      <c r="R14" s="72" t="s">
        <v>53</v>
      </c>
      <c r="S14" s="72">
        <v>0.14000000000000001</v>
      </c>
      <c r="T14" s="72">
        <v>0.31</v>
      </c>
      <c r="U14" s="73" t="s">
        <v>30</v>
      </c>
      <c r="V14" s="74" t="s">
        <v>30</v>
      </c>
    </row>
    <row r="15" spans="1:23">
      <c r="A15" s="67" t="s">
        <v>32</v>
      </c>
      <c r="B15" s="68" t="s">
        <v>54</v>
      </c>
      <c r="C15" s="68">
        <v>0.19</v>
      </c>
      <c r="D15" s="68">
        <v>0.22</v>
      </c>
      <c r="E15" s="69" t="s">
        <v>30</v>
      </c>
      <c r="F15" s="70" t="s">
        <v>30</v>
      </c>
      <c r="I15" s="67" t="s">
        <v>32</v>
      </c>
      <c r="J15" s="68" t="s">
        <v>54</v>
      </c>
      <c r="K15" s="68">
        <v>0.32</v>
      </c>
      <c r="L15" s="68">
        <v>0.12</v>
      </c>
      <c r="M15" s="69" t="s">
        <v>30</v>
      </c>
      <c r="N15" s="70" t="s">
        <v>30</v>
      </c>
      <c r="Q15" s="67" t="s">
        <v>32</v>
      </c>
      <c r="R15" s="68" t="s">
        <v>54</v>
      </c>
      <c r="S15" s="68">
        <v>0.14000000000000001</v>
      </c>
      <c r="T15" s="68">
        <v>0.3</v>
      </c>
      <c r="U15" s="69" t="s">
        <v>30</v>
      </c>
      <c r="V15" s="70" t="s">
        <v>30</v>
      </c>
    </row>
    <row r="16" spans="1:23">
      <c r="A16" s="67" t="s">
        <v>32</v>
      </c>
      <c r="B16" s="68" t="s">
        <v>55</v>
      </c>
      <c r="C16" s="68">
        <v>0.19</v>
      </c>
      <c r="D16" s="68">
        <v>0.22</v>
      </c>
      <c r="E16" s="69" t="s">
        <v>30</v>
      </c>
      <c r="F16" s="70" t="s">
        <v>30</v>
      </c>
      <c r="I16" s="67" t="s">
        <v>32</v>
      </c>
      <c r="J16" s="68" t="s">
        <v>55</v>
      </c>
      <c r="K16" s="68">
        <v>0.32</v>
      </c>
      <c r="L16" s="68">
        <v>0.11</v>
      </c>
      <c r="M16" s="69" t="s">
        <v>30</v>
      </c>
      <c r="N16" s="70" t="s">
        <v>30</v>
      </c>
      <c r="Q16" s="67" t="s">
        <v>32</v>
      </c>
      <c r="R16" s="68" t="s">
        <v>55</v>
      </c>
      <c r="S16" s="68">
        <v>0.14000000000000001</v>
      </c>
      <c r="T16" s="68">
        <v>0.33</v>
      </c>
      <c r="U16" s="69" t="s">
        <v>30</v>
      </c>
      <c r="V16" s="70" t="s">
        <v>30</v>
      </c>
    </row>
    <row r="17" spans="1:22">
      <c r="A17" s="67" t="s">
        <v>32</v>
      </c>
      <c r="B17" s="68" t="s">
        <v>56</v>
      </c>
      <c r="C17" s="68">
        <v>0.19</v>
      </c>
      <c r="D17" s="68">
        <v>0.2</v>
      </c>
      <c r="E17" s="69" t="s">
        <v>30</v>
      </c>
      <c r="F17" s="70" t="s">
        <v>30</v>
      </c>
      <c r="I17" s="67" t="s">
        <v>32</v>
      </c>
      <c r="J17" s="68" t="s">
        <v>56</v>
      </c>
      <c r="K17" s="68">
        <v>0.32</v>
      </c>
      <c r="L17" s="68">
        <v>0.13</v>
      </c>
      <c r="M17" s="69" t="s">
        <v>30</v>
      </c>
      <c r="N17" s="70" t="s">
        <v>30</v>
      </c>
      <c r="Q17" s="67" t="s">
        <v>32</v>
      </c>
      <c r="R17" s="68" t="s">
        <v>56</v>
      </c>
      <c r="S17" s="68">
        <v>0.14000000000000001</v>
      </c>
      <c r="T17" s="68">
        <v>0.33</v>
      </c>
      <c r="U17" s="69" t="s">
        <v>30</v>
      </c>
      <c r="V17" s="70" t="s">
        <v>30</v>
      </c>
    </row>
    <row r="18" spans="1:22">
      <c r="A18" s="5" t="s">
        <v>32</v>
      </c>
      <c r="B18" s="3" t="s">
        <v>53</v>
      </c>
      <c r="C18" s="3">
        <v>0.13</v>
      </c>
      <c r="D18" s="82">
        <v>0.2</v>
      </c>
      <c r="E18" s="35" t="s">
        <v>30</v>
      </c>
      <c r="F18" s="52" t="s">
        <v>30</v>
      </c>
      <c r="I18" s="5" t="s">
        <v>32</v>
      </c>
      <c r="J18" s="3" t="s">
        <v>53</v>
      </c>
      <c r="K18" s="3">
        <v>0.25</v>
      </c>
      <c r="L18" s="82">
        <v>0.1</v>
      </c>
      <c r="M18" s="35" t="s">
        <v>30</v>
      </c>
      <c r="N18" s="52" t="s">
        <v>30</v>
      </c>
      <c r="Q18" s="81" t="s">
        <v>32</v>
      </c>
      <c r="R18" s="82" t="s">
        <v>53</v>
      </c>
      <c r="S18" s="82">
        <v>0.1</v>
      </c>
      <c r="T18" s="82">
        <v>0.34</v>
      </c>
      <c r="U18" s="83" t="s">
        <v>30</v>
      </c>
      <c r="V18" s="84" t="s">
        <v>30</v>
      </c>
    </row>
    <row r="19" spans="1:22">
      <c r="A19" s="5" t="s">
        <v>32</v>
      </c>
      <c r="B19" s="3" t="s">
        <v>54</v>
      </c>
      <c r="C19" s="3">
        <v>0.13</v>
      </c>
      <c r="D19" s="82">
        <v>0.17</v>
      </c>
      <c r="E19" s="35" t="s">
        <v>30</v>
      </c>
      <c r="F19" s="52" t="s">
        <v>30</v>
      </c>
      <c r="I19" s="5" t="s">
        <v>32</v>
      </c>
      <c r="J19" s="3" t="s">
        <v>54</v>
      </c>
      <c r="K19" s="3">
        <v>0.25</v>
      </c>
      <c r="L19" s="82">
        <v>0.09</v>
      </c>
      <c r="M19" s="35" t="s">
        <v>30</v>
      </c>
      <c r="N19" s="52" t="s">
        <v>30</v>
      </c>
      <c r="Q19" s="81" t="s">
        <v>32</v>
      </c>
      <c r="R19" s="82" t="s">
        <v>54</v>
      </c>
      <c r="S19" s="82">
        <v>0.1</v>
      </c>
      <c r="T19" s="82">
        <v>0.31</v>
      </c>
      <c r="U19" s="83" t="s">
        <v>30</v>
      </c>
      <c r="V19" s="84" t="s">
        <v>30</v>
      </c>
    </row>
    <row r="20" spans="1:22">
      <c r="A20" s="5" t="s">
        <v>32</v>
      </c>
      <c r="B20" s="3" t="s">
        <v>55</v>
      </c>
      <c r="C20" s="3">
        <v>0.13</v>
      </c>
      <c r="D20" s="82">
        <v>0.16</v>
      </c>
      <c r="E20" s="35" t="s">
        <v>30</v>
      </c>
      <c r="F20" s="52" t="s">
        <v>30</v>
      </c>
      <c r="I20" s="5" t="s">
        <v>32</v>
      </c>
      <c r="J20" s="3" t="s">
        <v>55</v>
      </c>
      <c r="K20" s="3">
        <v>0.25</v>
      </c>
      <c r="L20" s="82">
        <v>0.1</v>
      </c>
      <c r="M20" s="35" t="s">
        <v>30</v>
      </c>
      <c r="N20" s="52" t="s">
        <v>30</v>
      </c>
      <c r="Q20" s="81" t="s">
        <v>32</v>
      </c>
      <c r="R20" s="82" t="s">
        <v>55</v>
      </c>
      <c r="S20" s="82">
        <v>0.1</v>
      </c>
      <c r="T20" s="82">
        <v>0.25</v>
      </c>
      <c r="U20" s="83" t="s">
        <v>30</v>
      </c>
      <c r="V20" s="84" t="s">
        <v>30</v>
      </c>
    </row>
    <row r="21" spans="1:22">
      <c r="A21" s="5" t="s">
        <v>32</v>
      </c>
      <c r="B21" s="3" t="s">
        <v>56</v>
      </c>
      <c r="C21" s="3">
        <v>0.13</v>
      </c>
      <c r="D21" s="82">
        <v>0.18</v>
      </c>
      <c r="E21" s="35" t="s">
        <v>30</v>
      </c>
      <c r="F21" s="52" t="s">
        <v>30</v>
      </c>
      <c r="I21" s="5" t="s">
        <v>32</v>
      </c>
      <c r="J21" s="3" t="s">
        <v>56</v>
      </c>
      <c r="K21" s="3">
        <v>0.25</v>
      </c>
      <c r="L21" s="82">
        <v>0.1</v>
      </c>
      <c r="M21" s="35" t="s">
        <v>30</v>
      </c>
      <c r="N21" s="52" t="s">
        <v>30</v>
      </c>
      <c r="Q21" s="81" t="s">
        <v>32</v>
      </c>
      <c r="R21" s="82" t="s">
        <v>56</v>
      </c>
      <c r="S21" s="82">
        <v>0.1</v>
      </c>
      <c r="T21" s="82">
        <v>0.28000000000000003</v>
      </c>
      <c r="U21" s="83" t="s">
        <v>30</v>
      </c>
      <c r="V21" s="84" t="s">
        <v>30</v>
      </c>
    </row>
    <row r="22" spans="1:22">
      <c r="A22" s="67" t="s">
        <v>32</v>
      </c>
      <c r="B22" s="68" t="s">
        <v>53</v>
      </c>
      <c r="C22" s="68">
        <v>0.08</v>
      </c>
      <c r="D22" s="68">
        <v>0.21</v>
      </c>
      <c r="E22" s="69" t="s">
        <v>30</v>
      </c>
      <c r="F22" s="70" t="s">
        <v>30</v>
      </c>
      <c r="I22" s="67" t="s">
        <v>32</v>
      </c>
      <c r="J22" s="68" t="s">
        <v>53</v>
      </c>
      <c r="K22" s="68">
        <v>0.18</v>
      </c>
      <c r="L22" s="68">
        <v>0.1</v>
      </c>
      <c r="M22" s="69" t="s">
        <v>30</v>
      </c>
      <c r="N22" s="70" t="s">
        <v>30</v>
      </c>
      <c r="Q22" s="67" t="s">
        <v>32</v>
      </c>
      <c r="R22" s="68" t="s">
        <v>53</v>
      </c>
      <c r="S22" s="68">
        <v>7.0000000000000007E-2</v>
      </c>
      <c r="T22" s="68">
        <v>0.32</v>
      </c>
      <c r="U22" s="69" t="s">
        <v>30</v>
      </c>
      <c r="V22" s="70" t="s">
        <v>30</v>
      </c>
    </row>
    <row r="23" spans="1:22">
      <c r="A23" s="67" t="s">
        <v>32</v>
      </c>
      <c r="B23" s="68" t="s">
        <v>54</v>
      </c>
      <c r="C23" s="68">
        <v>0.08</v>
      </c>
      <c r="D23" s="68">
        <v>0.19</v>
      </c>
      <c r="E23" s="69" t="s">
        <v>30</v>
      </c>
      <c r="F23" s="70" t="s">
        <v>30</v>
      </c>
      <c r="I23" s="67" t="s">
        <v>32</v>
      </c>
      <c r="J23" s="68" t="s">
        <v>54</v>
      </c>
      <c r="K23" s="68">
        <v>0.18</v>
      </c>
      <c r="L23" s="68">
        <v>0.1</v>
      </c>
      <c r="M23" s="69" t="s">
        <v>30</v>
      </c>
      <c r="N23" s="70" t="s">
        <v>30</v>
      </c>
      <c r="Q23" s="67" t="s">
        <v>32</v>
      </c>
      <c r="R23" s="68" t="s">
        <v>54</v>
      </c>
      <c r="S23" s="68">
        <v>7.0000000000000007E-2</v>
      </c>
      <c r="T23" s="68">
        <v>0.28999999999999998</v>
      </c>
      <c r="U23" s="69" t="s">
        <v>30</v>
      </c>
      <c r="V23" s="70" t="s">
        <v>30</v>
      </c>
    </row>
    <row r="24" spans="1:22">
      <c r="A24" s="67" t="s">
        <v>32</v>
      </c>
      <c r="B24" s="68" t="s">
        <v>55</v>
      </c>
      <c r="C24" s="68">
        <v>0.08</v>
      </c>
      <c r="D24" s="68">
        <v>0.15</v>
      </c>
      <c r="E24" s="69" t="s">
        <v>30</v>
      </c>
      <c r="F24" s="70" t="s">
        <v>30</v>
      </c>
      <c r="I24" s="67" t="s">
        <v>32</v>
      </c>
      <c r="J24" s="68" t="s">
        <v>55</v>
      </c>
      <c r="K24" s="68">
        <v>0.18</v>
      </c>
      <c r="L24" s="68">
        <v>0.1</v>
      </c>
      <c r="M24" s="69" t="s">
        <v>30</v>
      </c>
      <c r="N24" s="70" t="s">
        <v>30</v>
      </c>
      <c r="Q24" s="67" t="s">
        <v>32</v>
      </c>
      <c r="R24" s="68" t="s">
        <v>55</v>
      </c>
      <c r="S24" s="68">
        <v>7.0000000000000007E-2</v>
      </c>
      <c r="T24" s="68">
        <v>0.22</v>
      </c>
      <c r="U24" s="69" t="s">
        <v>30</v>
      </c>
      <c r="V24" s="70" t="s">
        <v>30</v>
      </c>
    </row>
    <row r="25" spans="1:22">
      <c r="A25" s="67" t="s">
        <v>32</v>
      </c>
      <c r="B25" s="68" t="s">
        <v>56</v>
      </c>
      <c r="C25" s="68">
        <v>0.08</v>
      </c>
      <c r="D25" s="68">
        <v>0.18</v>
      </c>
      <c r="E25" s="69" t="s">
        <v>30</v>
      </c>
      <c r="F25" s="70" t="s">
        <v>30</v>
      </c>
      <c r="I25" s="67" t="s">
        <v>32</v>
      </c>
      <c r="J25" s="68" t="s">
        <v>56</v>
      </c>
      <c r="K25" s="68">
        <v>0.18</v>
      </c>
      <c r="L25" s="68">
        <v>0.11</v>
      </c>
      <c r="M25" s="69" t="s">
        <v>30</v>
      </c>
      <c r="N25" s="70" t="s">
        <v>30</v>
      </c>
      <c r="Q25" s="67" t="s">
        <v>32</v>
      </c>
      <c r="R25" s="68" t="s">
        <v>56</v>
      </c>
      <c r="S25" s="68">
        <v>7.0000000000000007E-2</v>
      </c>
      <c r="T25" s="68">
        <v>0.28000000000000003</v>
      </c>
      <c r="U25" s="69" t="s">
        <v>30</v>
      </c>
      <c r="V25" s="70" t="s">
        <v>30</v>
      </c>
    </row>
    <row r="26" spans="1:22">
      <c r="A26" s="5" t="s">
        <v>32</v>
      </c>
      <c r="B26" s="3" t="s">
        <v>53</v>
      </c>
      <c r="C26" s="3">
        <v>0.04</v>
      </c>
      <c r="D26" s="82">
        <v>0.2</v>
      </c>
      <c r="E26" s="35" t="s">
        <v>30</v>
      </c>
      <c r="F26" s="52" t="s">
        <v>30</v>
      </c>
      <c r="I26" s="5" t="s">
        <v>32</v>
      </c>
      <c r="J26" s="3" t="s">
        <v>53</v>
      </c>
      <c r="K26" s="3">
        <v>0.11</v>
      </c>
      <c r="L26" s="82">
        <v>0.11</v>
      </c>
      <c r="M26" s="35" t="s">
        <v>30</v>
      </c>
      <c r="N26" s="52" t="s">
        <v>30</v>
      </c>
      <c r="Q26" s="81" t="s">
        <v>32</v>
      </c>
      <c r="R26" s="82" t="s">
        <v>53</v>
      </c>
      <c r="S26" s="82">
        <v>0.04</v>
      </c>
      <c r="T26" s="82">
        <v>0.31</v>
      </c>
      <c r="U26" s="83" t="s">
        <v>30</v>
      </c>
      <c r="V26" s="84" t="s">
        <v>30</v>
      </c>
    </row>
    <row r="27" spans="1:22">
      <c r="A27" s="5" t="s">
        <v>32</v>
      </c>
      <c r="B27" s="3" t="s">
        <v>54</v>
      </c>
      <c r="C27" s="3">
        <v>0.04</v>
      </c>
      <c r="D27" s="82">
        <v>0.16</v>
      </c>
      <c r="E27" s="35" t="s">
        <v>30</v>
      </c>
      <c r="F27" s="52" t="s">
        <v>30</v>
      </c>
      <c r="I27" s="5" t="s">
        <v>32</v>
      </c>
      <c r="J27" s="3" t="s">
        <v>54</v>
      </c>
      <c r="K27" s="3">
        <v>0.11</v>
      </c>
      <c r="L27" s="82">
        <v>0.11</v>
      </c>
      <c r="M27" s="35" t="s">
        <v>30</v>
      </c>
      <c r="N27" s="52" t="s">
        <v>30</v>
      </c>
      <c r="Q27" s="81" t="s">
        <v>32</v>
      </c>
      <c r="R27" s="82" t="s">
        <v>54</v>
      </c>
      <c r="S27" s="82">
        <v>0.04</v>
      </c>
      <c r="T27" s="82">
        <v>0.28000000000000003</v>
      </c>
      <c r="U27" s="83" t="s">
        <v>30</v>
      </c>
      <c r="V27" s="84" t="s">
        <v>30</v>
      </c>
    </row>
    <row r="28" spans="1:22">
      <c r="A28" s="5" t="s">
        <v>32</v>
      </c>
      <c r="B28" s="3" t="s">
        <v>55</v>
      </c>
      <c r="C28" s="3">
        <v>0.04</v>
      </c>
      <c r="D28" s="82">
        <v>0.19</v>
      </c>
      <c r="E28" s="35" t="s">
        <v>30</v>
      </c>
      <c r="F28" s="52" t="s">
        <v>30</v>
      </c>
      <c r="I28" s="5" t="s">
        <v>32</v>
      </c>
      <c r="J28" s="3" t="s">
        <v>55</v>
      </c>
      <c r="K28" s="3">
        <v>0.11</v>
      </c>
      <c r="L28" s="82">
        <v>0.12</v>
      </c>
      <c r="M28" s="35" t="s">
        <v>30</v>
      </c>
      <c r="N28" s="52" t="s">
        <v>30</v>
      </c>
      <c r="Q28" s="81" t="s">
        <v>32</v>
      </c>
      <c r="R28" s="82" t="s">
        <v>55</v>
      </c>
      <c r="S28" s="82">
        <v>0.04</v>
      </c>
      <c r="T28" s="82">
        <v>0.22</v>
      </c>
      <c r="U28" s="83" t="s">
        <v>30</v>
      </c>
      <c r="V28" s="84" t="s">
        <v>30</v>
      </c>
    </row>
    <row r="29" spans="1:22" ht="15.75" thickBot="1">
      <c r="A29" s="55" t="s">
        <v>32</v>
      </c>
      <c r="B29" s="56" t="s">
        <v>56</v>
      </c>
      <c r="C29" s="56">
        <v>0.04</v>
      </c>
      <c r="D29" s="102">
        <v>0.2</v>
      </c>
      <c r="E29" s="75">
        <f>AVERAGE(D14:D29)</f>
        <v>0.18812500000000001</v>
      </c>
      <c r="F29" s="76">
        <f>E29*B8*0.3048^2</f>
        <v>1.2470841993750002E-2</v>
      </c>
      <c r="I29" s="5" t="s">
        <v>32</v>
      </c>
      <c r="J29" s="3" t="s">
        <v>56</v>
      </c>
      <c r="K29" s="3">
        <v>0.11</v>
      </c>
      <c r="L29" s="82">
        <v>0.14000000000000001</v>
      </c>
      <c r="M29" s="35" t="s">
        <v>30</v>
      </c>
      <c r="N29" s="52" t="s">
        <v>30</v>
      </c>
      <c r="Q29" s="105" t="s">
        <v>32</v>
      </c>
      <c r="R29" s="102" t="s">
        <v>56</v>
      </c>
      <c r="S29" s="102">
        <v>0.04</v>
      </c>
      <c r="T29" s="102">
        <v>0.28999999999999998</v>
      </c>
      <c r="U29" s="75">
        <f>AVERAGE(T14:T29)</f>
        <v>0.29125000000000001</v>
      </c>
      <c r="V29" s="76">
        <f>U29*$R$8*0.3048^2</f>
        <v>1.3388078062500001E-2</v>
      </c>
    </row>
    <row r="30" spans="1:22">
      <c r="A30" s="71" t="s">
        <v>17</v>
      </c>
      <c r="B30" s="72" t="s">
        <v>53</v>
      </c>
      <c r="C30" s="72">
        <v>0.19</v>
      </c>
      <c r="D30" s="72">
        <v>0.18</v>
      </c>
      <c r="E30" s="73" t="s">
        <v>30</v>
      </c>
      <c r="F30" s="74" t="s">
        <v>30</v>
      </c>
      <c r="I30" s="67" t="s">
        <v>32</v>
      </c>
      <c r="J30" s="68" t="s">
        <v>53</v>
      </c>
      <c r="K30" s="68">
        <v>0.04</v>
      </c>
      <c r="L30" s="68">
        <v>0.09</v>
      </c>
      <c r="M30" s="69" t="s">
        <v>30</v>
      </c>
      <c r="N30" s="70" t="s">
        <v>30</v>
      </c>
      <c r="Q30" s="71" t="s">
        <v>17</v>
      </c>
      <c r="R30" s="72" t="s">
        <v>53</v>
      </c>
      <c r="S30" s="72">
        <v>0.14000000000000001</v>
      </c>
      <c r="T30" s="72">
        <v>0.28000000000000003</v>
      </c>
      <c r="U30" s="73" t="s">
        <v>30</v>
      </c>
      <c r="V30" s="74" t="s">
        <v>30</v>
      </c>
    </row>
    <row r="31" spans="1:22">
      <c r="A31" s="67" t="s">
        <v>17</v>
      </c>
      <c r="B31" s="68" t="s">
        <v>54</v>
      </c>
      <c r="C31" s="68">
        <v>0.19</v>
      </c>
      <c r="D31" s="68">
        <v>0.2</v>
      </c>
      <c r="E31" s="69" t="s">
        <v>30</v>
      </c>
      <c r="F31" s="70" t="s">
        <v>30</v>
      </c>
      <c r="I31" s="67" t="s">
        <v>32</v>
      </c>
      <c r="J31" s="68" t="s">
        <v>54</v>
      </c>
      <c r="K31" s="68">
        <v>0.04</v>
      </c>
      <c r="L31" s="68">
        <v>0.09</v>
      </c>
      <c r="M31" s="69" t="s">
        <v>30</v>
      </c>
      <c r="N31" s="70" t="s">
        <v>30</v>
      </c>
      <c r="Q31" s="67" t="s">
        <v>17</v>
      </c>
      <c r="R31" s="68" t="s">
        <v>54</v>
      </c>
      <c r="S31" s="68">
        <v>0.14000000000000001</v>
      </c>
      <c r="T31" s="68">
        <v>0.28999999999999998</v>
      </c>
      <c r="U31" s="69" t="s">
        <v>30</v>
      </c>
      <c r="V31" s="70" t="s">
        <v>30</v>
      </c>
    </row>
    <row r="32" spans="1:22">
      <c r="A32" s="67" t="s">
        <v>17</v>
      </c>
      <c r="B32" s="68" t="s">
        <v>55</v>
      </c>
      <c r="C32" s="68">
        <v>0.19</v>
      </c>
      <c r="D32" s="68">
        <v>0.19</v>
      </c>
      <c r="E32" s="69" t="s">
        <v>30</v>
      </c>
      <c r="F32" s="70" t="s">
        <v>30</v>
      </c>
      <c r="I32" s="67" t="s">
        <v>32</v>
      </c>
      <c r="J32" s="68" t="s">
        <v>55</v>
      </c>
      <c r="K32" s="68">
        <v>0.04</v>
      </c>
      <c r="L32" s="68">
        <v>0.08</v>
      </c>
      <c r="M32" s="69" t="s">
        <v>30</v>
      </c>
      <c r="N32" s="70" t="s">
        <v>30</v>
      </c>
      <c r="Q32" s="67" t="s">
        <v>17</v>
      </c>
      <c r="R32" s="68" t="s">
        <v>55</v>
      </c>
      <c r="S32" s="68">
        <v>0.14000000000000001</v>
      </c>
      <c r="T32" s="68">
        <v>0.31</v>
      </c>
      <c r="U32" s="69" t="s">
        <v>30</v>
      </c>
      <c r="V32" s="70" t="s">
        <v>30</v>
      </c>
    </row>
    <row r="33" spans="1:22" ht="15.75" thickBot="1">
      <c r="A33" s="67" t="s">
        <v>17</v>
      </c>
      <c r="B33" s="68" t="s">
        <v>56</v>
      </c>
      <c r="C33" s="68">
        <v>0.19</v>
      </c>
      <c r="D33" s="68">
        <v>0.19</v>
      </c>
      <c r="E33" s="69" t="s">
        <v>30</v>
      </c>
      <c r="F33" s="70" t="s">
        <v>30</v>
      </c>
      <c r="I33" s="103" t="s">
        <v>32</v>
      </c>
      <c r="J33" s="101" t="s">
        <v>56</v>
      </c>
      <c r="K33" s="101">
        <v>0.04</v>
      </c>
      <c r="L33" s="101">
        <v>0.4</v>
      </c>
      <c r="M33" s="75">
        <f>AVERAGE(L14:L33)</f>
        <v>0.12100000000000002</v>
      </c>
      <c r="N33" s="76">
        <f>M33*$J$8*0.3048^2</f>
        <v>1.3202634885000005E-2</v>
      </c>
      <c r="Q33" s="67" t="s">
        <v>17</v>
      </c>
      <c r="R33" s="68" t="s">
        <v>56</v>
      </c>
      <c r="S33" s="68">
        <v>0.14000000000000001</v>
      </c>
      <c r="T33" s="68">
        <v>0.31</v>
      </c>
      <c r="U33" s="69" t="s">
        <v>30</v>
      </c>
      <c r="V33" s="70" t="s">
        <v>30</v>
      </c>
    </row>
    <row r="34" spans="1:22">
      <c r="A34" s="5" t="s">
        <v>17</v>
      </c>
      <c r="B34" s="3" t="s">
        <v>53</v>
      </c>
      <c r="C34" s="3">
        <v>0.13</v>
      </c>
      <c r="D34" s="82">
        <v>0.19</v>
      </c>
      <c r="E34" s="35" t="s">
        <v>30</v>
      </c>
      <c r="F34" s="52" t="s">
        <v>30</v>
      </c>
      <c r="I34" s="48" t="s">
        <v>17</v>
      </c>
      <c r="J34" s="49" t="s">
        <v>53</v>
      </c>
      <c r="K34" s="49">
        <v>0.32</v>
      </c>
      <c r="L34" s="104">
        <v>0.11</v>
      </c>
      <c r="M34" s="50" t="s">
        <v>30</v>
      </c>
      <c r="N34" s="51" t="s">
        <v>30</v>
      </c>
      <c r="Q34" s="81" t="s">
        <v>17</v>
      </c>
      <c r="R34" s="82" t="s">
        <v>53</v>
      </c>
      <c r="S34" s="82">
        <v>0.1</v>
      </c>
      <c r="T34" s="82">
        <v>0.32</v>
      </c>
      <c r="U34" s="83" t="s">
        <v>30</v>
      </c>
      <c r="V34" s="84" t="s">
        <v>30</v>
      </c>
    </row>
    <row r="35" spans="1:22">
      <c r="A35" s="5" t="s">
        <v>17</v>
      </c>
      <c r="B35" s="3" t="s">
        <v>54</v>
      </c>
      <c r="C35" s="3">
        <v>0.13</v>
      </c>
      <c r="D35" s="82">
        <v>0.16</v>
      </c>
      <c r="E35" s="35" t="s">
        <v>30</v>
      </c>
      <c r="F35" s="52" t="s">
        <v>30</v>
      </c>
      <c r="I35" s="5" t="s">
        <v>17</v>
      </c>
      <c r="J35" s="3" t="s">
        <v>54</v>
      </c>
      <c r="K35" s="3">
        <v>0.32</v>
      </c>
      <c r="L35" s="82">
        <v>0.1</v>
      </c>
      <c r="M35" s="35" t="s">
        <v>30</v>
      </c>
      <c r="N35" s="52" t="s">
        <v>30</v>
      </c>
      <c r="Q35" s="81" t="s">
        <v>17</v>
      </c>
      <c r="R35" s="82" t="s">
        <v>54</v>
      </c>
      <c r="S35" s="82">
        <v>0.1</v>
      </c>
      <c r="T35" s="82">
        <v>0.3</v>
      </c>
      <c r="U35" s="83" t="s">
        <v>30</v>
      </c>
      <c r="V35" s="84" t="s">
        <v>30</v>
      </c>
    </row>
    <row r="36" spans="1:22">
      <c r="A36" s="5" t="s">
        <v>17</v>
      </c>
      <c r="B36" s="3" t="s">
        <v>55</v>
      </c>
      <c r="C36" s="3">
        <v>0.13</v>
      </c>
      <c r="D36" s="82">
        <v>0.17</v>
      </c>
      <c r="E36" s="35" t="s">
        <v>30</v>
      </c>
      <c r="F36" s="52" t="s">
        <v>30</v>
      </c>
      <c r="I36" s="5" t="s">
        <v>17</v>
      </c>
      <c r="J36" s="3" t="s">
        <v>55</v>
      </c>
      <c r="K36" s="3">
        <v>0.32</v>
      </c>
      <c r="L36" s="82">
        <v>0.11</v>
      </c>
      <c r="M36" s="35" t="s">
        <v>30</v>
      </c>
      <c r="N36" s="52" t="s">
        <v>30</v>
      </c>
      <c r="Q36" s="81" t="s">
        <v>17</v>
      </c>
      <c r="R36" s="82" t="s">
        <v>55</v>
      </c>
      <c r="S36" s="82">
        <v>0.1</v>
      </c>
      <c r="T36" s="82">
        <v>0.26</v>
      </c>
      <c r="U36" s="83" t="s">
        <v>30</v>
      </c>
      <c r="V36" s="84" t="s">
        <v>30</v>
      </c>
    </row>
    <row r="37" spans="1:22">
      <c r="A37" s="5" t="s">
        <v>17</v>
      </c>
      <c r="B37" s="3" t="s">
        <v>56</v>
      </c>
      <c r="C37" s="3">
        <v>0.13</v>
      </c>
      <c r="D37" s="82">
        <v>0.17</v>
      </c>
      <c r="E37" s="35" t="s">
        <v>30</v>
      </c>
      <c r="F37" s="52" t="s">
        <v>30</v>
      </c>
      <c r="I37" s="5" t="s">
        <v>17</v>
      </c>
      <c r="J37" s="3" t="s">
        <v>56</v>
      </c>
      <c r="K37" s="3">
        <v>0.32</v>
      </c>
      <c r="L37" s="82">
        <v>0.12</v>
      </c>
      <c r="M37" s="35" t="s">
        <v>30</v>
      </c>
      <c r="N37" s="52" t="s">
        <v>30</v>
      </c>
      <c r="Q37" s="81" t="s">
        <v>17</v>
      </c>
      <c r="R37" s="82" t="s">
        <v>56</v>
      </c>
      <c r="S37" s="82">
        <v>0.1</v>
      </c>
      <c r="T37" s="82">
        <v>0.27</v>
      </c>
      <c r="U37" s="83" t="s">
        <v>30</v>
      </c>
      <c r="V37" s="84" t="s">
        <v>30</v>
      </c>
    </row>
    <row r="38" spans="1:22">
      <c r="A38" s="67" t="s">
        <v>17</v>
      </c>
      <c r="B38" s="68" t="s">
        <v>53</v>
      </c>
      <c r="C38" s="68">
        <v>0.08</v>
      </c>
      <c r="D38" s="68">
        <v>0.2</v>
      </c>
      <c r="E38" s="69" t="s">
        <v>30</v>
      </c>
      <c r="F38" s="70" t="s">
        <v>30</v>
      </c>
      <c r="I38" s="67" t="s">
        <v>17</v>
      </c>
      <c r="J38" s="68" t="s">
        <v>53</v>
      </c>
      <c r="K38" s="68">
        <v>0.25</v>
      </c>
      <c r="L38" s="68">
        <v>0.11</v>
      </c>
      <c r="M38" s="69" t="s">
        <v>30</v>
      </c>
      <c r="N38" s="70" t="s">
        <v>30</v>
      </c>
      <c r="Q38" s="67" t="s">
        <v>17</v>
      </c>
      <c r="R38" s="68" t="s">
        <v>53</v>
      </c>
      <c r="S38" s="68">
        <v>7.0000000000000007E-2</v>
      </c>
      <c r="T38" s="68">
        <v>0.32</v>
      </c>
      <c r="U38" s="69" t="s">
        <v>30</v>
      </c>
      <c r="V38" s="70" t="s">
        <v>30</v>
      </c>
    </row>
    <row r="39" spans="1:22">
      <c r="A39" s="67" t="s">
        <v>17</v>
      </c>
      <c r="B39" s="68" t="s">
        <v>54</v>
      </c>
      <c r="C39" s="68">
        <v>0.08</v>
      </c>
      <c r="D39" s="68">
        <v>0.2</v>
      </c>
      <c r="E39" s="69" t="s">
        <v>30</v>
      </c>
      <c r="F39" s="70" t="s">
        <v>30</v>
      </c>
      <c r="I39" s="67" t="s">
        <v>17</v>
      </c>
      <c r="J39" s="68" t="s">
        <v>54</v>
      </c>
      <c r="K39" s="68">
        <v>0.25</v>
      </c>
      <c r="L39" s="68">
        <v>0.1</v>
      </c>
      <c r="M39" s="69" t="s">
        <v>30</v>
      </c>
      <c r="N39" s="70" t="s">
        <v>30</v>
      </c>
      <c r="Q39" s="67" t="s">
        <v>17</v>
      </c>
      <c r="R39" s="68" t="s">
        <v>54</v>
      </c>
      <c r="S39" s="68">
        <v>7.0000000000000007E-2</v>
      </c>
      <c r="T39" s="68">
        <v>0.31</v>
      </c>
      <c r="U39" s="69" t="s">
        <v>30</v>
      </c>
      <c r="V39" s="70" t="s">
        <v>30</v>
      </c>
    </row>
    <row r="40" spans="1:22">
      <c r="A40" s="67" t="s">
        <v>17</v>
      </c>
      <c r="B40" s="68" t="s">
        <v>55</v>
      </c>
      <c r="C40" s="68">
        <v>0.08</v>
      </c>
      <c r="D40" s="68">
        <v>0.17</v>
      </c>
      <c r="E40" s="69" t="s">
        <v>30</v>
      </c>
      <c r="F40" s="70" t="s">
        <v>30</v>
      </c>
      <c r="I40" s="67" t="s">
        <v>17</v>
      </c>
      <c r="J40" s="68" t="s">
        <v>55</v>
      </c>
      <c r="K40" s="68">
        <v>0.25</v>
      </c>
      <c r="L40" s="68">
        <v>0.11</v>
      </c>
      <c r="M40" s="69" t="s">
        <v>30</v>
      </c>
      <c r="N40" s="70" t="s">
        <v>30</v>
      </c>
      <c r="Q40" s="67" t="s">
        <v>17</v>
      </c>
      <c r="R40" s="68" t="s">
        <v>55</v>
      </c>
      <c r="S40" s="68">
        <v>7.0000000000000007E-2</v>
      </c>
      <c r="T40" s="68">
        <v>0.24</v>
      </c>
      <c r="U40" s="69" t="s">
        <v>30</v>
      </c>
      <c r="V40" s="70" t="s">
        <v>30</v>
      </c>
    </row>
    <row r="41" spans="1:22">
      <c r="A41" s="67" t="s">
        <v>17</v>
      </c>
      <c r="B41" s="68" t="s">
        <v>56</v>
      </c>
      <c r="C41" s="68">
        <v>0.08</v>
      </c>
      <c r="D41" s="68">
        <v>0.18</v>
      </c>
      <c r="E41" s="69" t="s">
        <v>30</v>
      </c>
      <c r="F41" s="70" t="s">
        <v>30</v>
      </c>
      <c r="I41" s="67" t="s">
        <v>17</v>
      </c>
      <c r="J41" s="68" t="s">
        <v>56</v>
      </c>
      <c r="K41" s="68">
        <v>0.25</v>
      </c>
      <c r="L41" s="68">
        <v>0.11</v>
      </c>
      <c r="M41" s="69" t="s">
        <v>30</v>
      </c>
      <c r="N41" s="70" t="s">
        <v>30</v>
      </c>
      <c r="Q41" s="67" t="s">
        <v>17</v>
      </c>
      <c r="R41" s="68" t="s">
        <v>56</v>
      </c>
      <c r="S41" s="68">
        <v>7.0000000000000007E-2</v>
      </c>
      <c r="T41" s="68">
        <v>0.24</v>
      </c>
      <c r="U41" s="69" t="s">
        <v>30</v>
      </c>
      <c r="V41" s="70" t="s">
        <v>30</v>
      </c>
    </row>
    <row r="42" spans="1:22">
      <c r="A42" s="5" t="s">
        <v>17</v>
      </c>
      <c r="B42" s="3" t="s">
        <v>53</v>
      </c>
      <c r="C42" s="3">
        <v>0.04</v>
      </c>
      <c r="D42" s="82">
        <v>0.19</v>
      </c>
      <c r="E42" s="35" t="s">
        <v>30</v>
      </c>
      <c r="F42" s="52" t="s">
        <v>30</v>
      </c>
      <c r="I42" s="5" t="s">
        <v>17</v>
      </c>
      <c r="J42" s="3" t="s">
        <v>53</v>
      </c>
      <c r="K42" s="3">
        <v>0.18</v>
      </c>
      <c r="L42" s="82">
        <v>0.11</v>
      </c>
      <c r="M42" s="35" t="s">
        <v>30</v>
      </c>
      <c r="N42" s="52" t="s">
        <v>30</v>
      </c>
      <c r="Q42" s="81" t="s">
        <v>17</v>
      </c>
      <c r="R42" s="82" t="s">
        <v>53</v>
      </c>
      <c r="S42" s="82">
        <v>0.04</v>
      </c>
      <c r="T42" s="82">
        <v>0.3</v>
      </c>
      <c r="U42" s="83" t="s">
        <v>30</v>
      </c>
      <c r="V42" s="84" t="s">
        <v>30</v>
      </c>
    </row>
    <row r="43" spans="1:22">
      <c r="A43" s="5" t="s">
        <v>17</v>
      </c>
      <c r="B43" s="3" t="s">
        <v>54</v>
      </c>
      <c r="C43" s="3">
        <v>0.04</v>
      </c>
      <c r="D43" s="82">
        <v>0.21</v>
      </c>
      <c r="E43" s="35" t="s">
        <v>30</v>
      </c>
      <c r="F43" s="52" t="s">
        <v>30</v>
      </c>
      <c r="I43" s="5" t="s">
        <v>17</v>
      </c>
      <c r="J43" s="3" t="s">
        <v>54</v>
      </c>
      <c r="K43" s="3">
        <v>0.18</v>
      </c>
      <c r="L43" s="82">
        <v>0.1</v>
      </c>
      <c r="M43" s="35" t="s">
        <v>30</v>
      </c>
      <c r="N43" s="52" t="s">
        <v>30</v>
      </c>
      <c r="Q43" s="81" t="s">
        <v>17</v>
      </c>
      <c r="R43" s="82" t="s">
        <v>54</v>
      </c>
      <c r="S43" s="82">
        <v>0.04</v>
      </c>
      <c r="T43" s="82">
        <v>0.28999999999999998</v>
      </c>
      <c r="U43" s="83" t="s">
        <v>30</v>
      </c>
      <c r="V43" s="84" t="s">
        <v>30</v>
      </c>
    </row>
    <row r="44" spans="1:22">
      <c r="A44" s="5" t="s">
        <v>17</v>
      </c>
      <c r="B44" s="3" t="s">
        <v>55</v>
      </c>
      <c r="C44" s="3">
        <v>0.04</v>
      </c>
      <c r="D44" s="82">
        <v>0.2</v>
      </c>
      <c r="E44" s="35" t="s">
        <v>30</v>
      </c>
      <c r="F44" s="52" t="s">
        <v>30</v>
      </c>
      <c r="I44" s="5" t="s">
        <v>17</v>
      </c>
      <c r="J44" s="3" t="s">
        <v>55</v>
      </c>
      <c r="K44" s="3">
        <v>0.18</v>
      </c>
      <c r="L44" s="82">
        <v>0.11</v>
      </c>
      <c r="M44" s="35" t="s">
        <v>30</v>
      </c>
      <c r="N44" s="52" t="s">
        <v>30</v>
      </c>
      <c r="Q44" s="81" t="s">
        <v>17</v>
      </c>
      <c r="R44" s="82" t="s">
        <v>55</v>
      </c>
      <c r="S44" s="82">
        <v>0.04</v>
      </c>
      <c r="T44" s="82">
        <v>0.23</v>
      </c>
      <c r="U44" s="83" t="s">
        <v>30</v>
      </c>
      <c r="V44" s="84" t="s">
        <v>30</v>
      </c>
    </row>
    <row r="45" spans="1:22" ht="15.75" thickBot="1">
      <c r="A45" s="6" t="s">
        <v>17</v>
      </c>
      <c r="B45" s="7" t="s">
        <v>56</v>
      </c>
      <c r="C45" s="7">
        <v>0.04</v>
      </c>
      <c r="D45" s="86">
        <v>0.2</v>
      </c>
      <c r="E45" s="77">
        <f>AVERAGE(D30:D45)</f>
        <v>0.1875</v>
      </c>
      <c r="F45" s="78">
        <f>E45*$B$8*0.3048^2</f>
        <v>1.2429410625000002E-2</v>
      </c>
      <c r="I45" s="5" t="s">
        <v>17</v>
      </c>
      <c r="J45" s="3" t="s">
        <v>56</v>
      </c>
      <c r="K45" s="3">
        <v>0.18</v>
      </c>
      <c r="L45" s="82">
        <v>0.13</v>
      </c>
      <c r="M45" s="35" t="s">
        <v>30</v>
      </c>
      <c r="N45" s="52" t="s">
        <v>30</v>
      </c>
      <c r="Q45" s="85" t="s">
        <v>17</v>
      </c>
      <c r="R45" s="86" t="s">
        <v>56</v>
      </c>
      <c r="S45" s="86">
        <v>0.04</v>
      </c>
      <c r="T45" s="86">
        <v>0.23</v>
      </c>
      <c r="U45" s="77">
        <f>AVERAGE(T30:T45)</f>
        <v>0.28125000000000006</v>
      </c>
      <c r="V45" s="78">
        <f>U45*$R$8*0.3048^2</f>
        <v>1.2928401562500004E-2</v>
      </c>
    </row>
    <row r="46" spans="1:22">
      <c r="A46" s="63" t="s">
        <v>52</v>
      </c>
      <c r="B46" s="64" t="s">
        <v>53</v>
      </c>
      <c r="C46" s="64">
        <v>0.19</v>
      </c>
      <c r="D46" s="64">
        <v>0.15</v>
      </c>
      <c r="E46" s="65" t="s">
        <v>30</v>
      </c>
      <c r="F46" s="66" t="s">
        <v>30</v>
      </c>
      <c r="I46" s="67" t="s">
        <v>17</v>
      </c>
      <c r="J46" s="68" t="s">
        <v>53</v>
      </c>
      <c r="K46" s="68">
        <v>0.11</v>
      </c>
      <c r="L46" s="68">
        <v>0.12</v>
      </c>
      <c r="M46" s="69" t="s">
        <v>30</v>
      </c>
      <c r="N46" s="70" t="s">
        <v>30</v>
      </c>
      <c r="Q46" s="71" t="s">
        <v>52</v>
      </c>
      <c r="R46" s="72" t="s">
        <v>53</v>
      </c>
      <c r="S46" s="72">
        <v>0.14000000000000001</v>
      </c>
      <c r="T46" s="72">
        <v>0.27</v>
      </c>
      <c r="U46" s="73" t="s">
        <v>30</v>
      </c>
      <c r="V46" s="74" t="s">
        <v>30</v>
      </c>
    </row>
    <row r="47" spans="1:22">
      <c r="A47" s="67" t="s">
        <v>52</v>
      </c>
      <c r="B47" s="68" t="s">
        <v>54</v>
      </c>
      <c r="C47" s="68">
        <v>0.19</v>
      </c>
      <c r="D47" s="68">
        <v>0.16</v>
      </c>
      <c r="E47" s="69" t="s">
        <v>30</v>
      </c>
      <c r="F47" s="70" t="s">
        <v>30</v>
      </c>
      <c r="I47" s="67" t="s">
        <v>17</v>
      </c>
      <c r="J47" s="68" t="s">
        <v>54</v>
      </c>
      <c r="K47" s="68">
        <v>0.11</v>
      </c>
      <c r="L47" s="68">
        <v>0.1</v>
      </c>
      <c r="M47" s="69" t="s">
        <v>30</v>
      </c>
      <c r="N47" s="70" t="s">
        <v>30</v>
      </c>
      <c r="Q47" s="67" t="s">
        <v>52</v>
      </c>
      <c r="R47" s="68" t="s">
        <v>54</v>
      </c>
      <c r="S47" s="68">
        <v>0.14000000000000001</v>
      </c>
      <c r="T47" s="68">
        <v>0.25</v>
      </c>
      <c r="U47" s="69" t="s">
        <v>30</v>
      </c>
      <c r="V47" s="70" t="s">
        <v>30</v>
      </c>
    </row>
    <row r="48" spans="1:22">
      <c r="A48" s="67" t="s">
        <v>52</v>
      </c>
      <c r="B48" s="68" t="s">
        <v>55</v>
      </c>
      <c r="C48" s="68">
        <v>0.19</v>
      </c>
      <c r="D48" s="68">
        <v>0.17</v>
      </c>
      <c r="E48" s="69" t="s">
        <v>30</v>
      </c>
      <c r="F48" s="70" t="s">
        <v>30</v>
      </c>
      <c r="I48" s="67" t="s">
        <v>17</v>
      </c>
      <c r="J48" s="68" t="s">
        <v>55</v>
      </c>
      <c r="K48" s="68">
        <v>0.11</v>
      </c>
      <c r="L48" s="68">
        <v>0.11</v>
      </c>
      <c r="M48" s="69" t="s">
        <v>30</v>
      </c>
      <c r="N48" s="70" t="s">
        <v>30</v>
      </c>
      <c r="Q48" s="67" t="s">
        <v>52</v>
      </c>
      <c r="R48" s="68" t="s">
        <v>55</v>
      </c>
      <c r="S48" s="68">
        <v>0.14000000000000001</v>
      </c>
      <c r="T48" s="68">
        <v>0.26</v>
      </c>
      <c r="U48" s="69" t="s">
        <v>30</v>
      </c>
      <c r="V48" s="70" t="s">
        <v>30</v>
      </c>
    </row>
    <row r="49" spans="1:22">
      <c r="A49" s="67" t="s">
        <v>52</v>
      </c>
      <c r="B49" s="68" t="s">
        <v>56</v>
      </c>
      <c r="C49" s="68">
        <v>0.19</v>
      </c>
      <c r="D49" s="68">
        <v>0.14000000000000001</v>
      </c>
      <c r="E49" s="69" t="s">
        <v>30</v>
      </c>
      <c r="F49" s="70" t="s">
        <v>30</v>
      </c>
      <c r="I49" s="67" t="s">
        <v>17</v>
      </c>
      <c r="J49" s="68" t="s">
        <v>56</v>
      </c>
      <c r="K49" s="68">
        <v>0.11</v>
      </c>
      <c r="L49" s="68">
        <v>0.12</v>
      </c>
      <c r="M49" s="69" t="s">
        <v>30</v>
      </c>
      <c r="N49" s="70" t="s">
        <v>30</v>
      </c>
      <c r="Q49" s="67" t="s">
        <v>52</v>
      </c>
      <c r="R49" s="68" t="s">
        <v>56</v>
      </c>
      <c r="S49" s="68">
        <v>0.14000000000000001</v>
      </c>
      <c r="T49" s="68">
        <v>0.26</v>
      </c>
      <c r="U49" s="69" t="s">
        <v>30</v>
      </c>
      <c r="V49" s="70" t="s">
        <v>30</v>
      </c>
    </row>
    <row r="50" spans="1:22">
      <c r="A50" s="5" t="s">
        <v>52</v>
      </c>
      <c r="B50" s="3" t="s">
        <v>53</v>
      </c>
      <c r="C50" s="3">
        <v>0.13</v>
      </c>
      <c r="D50" s="82">
        <v>0.19</v>
      </c>
      <c r="E50" s="35" t="s">
        <v>30</v>
      </c>
      <c r="F50" s="52" t="s">
        <v>30</v>
      </c>
      <c r="I50" s="5" t="s">
        <v>17</v>
      </c>
      <c r="J50" s="3" t="s">
        <v>53</v>
      </c>
      <c r="K50" s="3">
        <v>0.04</v>
      </c>
      <c r="L50" s="82">
        <v>0.1</v>
      </c>
      <c r="M50" s="35" t="s">
        <v>30</v>
      </c>
      <c r="N50" s="52" t="s">
        <v>30</v>
      </c>
      <c r="Q50" s="81" t="s">
        <v>52</v>
      </c>
      <c r="R50" s="82" t="s">
        <v>53</v>
      </c>
      <c r="S50" s="82">
        <v>0.1</v>
      </c>
      <c r="T50" s="82">
        <v>0.3</v>
      </c>
      <c r="U50" s="83" t="s">
        <v>30</v>
      </c>
      <c r="V50" s="84" t="s">
        <v>30</v>
      </c>
    </row>
    <row r="51" spans="1:22">
      <c r="A51" s="5" t="s">
        <v>52</v>
      </c>
      <c r="B51" s="3" t="s">
        <v>54</v>
      </c>
      <c r="C51" s="3">
        <v>0.13</v>
      </c>
      <c r="D51" s="82">
        <v>0.18</v>
      </c>
      <c r="E51" s="35" t="s">
        <v>30</v>
      </c>
      <c r="F51" s="52" t="s">
        <v>30</v>
      </c>
      <c r="I51" s="5" t="s">
        <v>17</v>
      </c>
      <c r="J51" s="3" t="s">
        <v>54</v>
      </c>
      <c r="K51" s="3">
        <v>0.04</v>
      </c>
      <c r="L51" s="82">
        <v>0.1</v>
      </c>
      <c r="M51" s="35" t="s">
        <v>30</v>
      </c>
      <c r="N51" s="52" t="s">
        <v>30</v>
      </c>
      <c r="Q51" s="81" t="s">
        <v>52</v>
      </c>
      <c r="R51" s="82" t="s">
        <v>54</v>
      </c>
      <c r="S51" s="82">
        <v>0.1</v>
      </c>
      <c r="T51" s="82">
        <v>0.28000000000000003</v>
      </c>
      <c r="U51" s="83" t="s">
        <v>30</v>
      </c>
      <c r="V51" s="84" t="s">
        <v>30</v>
      </c>
    </row>
    <row r="52" spans="1:22">
      <c r="A52" s="5" t="s">
        <v>52</v>
      </c>
      <c r="B52" s="3" t="s">
        <v>55</v>
      </c>
      <c r="C52" s="3">
        <v>0.13</v>
      </c>
      <c r="D52" s="82">
        <v>0.19</v>
      </c>
      <c r="E52" s="35" t="s">
        <v>30</v>
      </c>
      <c r="F52" s="52" t="s">
        <v>30</v>
      </c>
      <c r="I52" s="5" t="s">
        <v>17</v>
      </c>
      <c r="J52" s="3" t="s">
        <v>55</v>
      </c>
      <c r="K52" s="3">
        <v>0.04</v>
      </c>
      <c r="L52" s="82">
        <v>0.1</v>
      </c>
      <c r="M52" s="35" t="s">
        <v>30</v>
      </c>
      <c r="N52" s="52" t="s">
        <v>30</v>
      </c>
      <c r="Q52" s="81" t="s">
        <v>52</v>
      </c>
      <c r="R52" s="82" t="s">
        <v>55</v>
      </c>
      <c r="S52" s="82">
        <v>0.1</v>
      </c>
      <c r="T52" s="82">
        <v>0.27</v>
      </c>
      <c r="U52" s="83" t="s">
        <v>30</v>
      </c>
      <c r="V52" s="84" t="s">
        <v>30</v>
      </c>
    </row>
    <row r="53" spans="1:22" ht="15.75" thickBot="1">
      <c r="A53" s="5" t="s">
        <v>52</v>
      </c>
      <c r="B53" s="3" t="s">
        <v>56</v>
      </c>
      <c r="C53" s="3">
        <v>0.13</v>
      </c>
      <c r="D53" s="82">
        <v>0.2</v>
      </c>
      <c r="E53" s="35" t="s">
        <v>30</v>
      </c>
      <c r="F53" s="52" t="s">
        <v>30</v>
      </c>
      <c r="I53" s="6" t="s">
        <v>17</v>
      </c>
      <c r="J53" s="7" t="s">
        <v>56</v>
      </c>
      <c r="K53" s="7">
        <v>0.04</v>
      </c>
      <c r="L53" s="86">
        <v>0.12</v>
      </c>
      <c r="M53" s="77">
        <f>AVERAGE(L34:L53)</f>
        <v>0.10950000000000004</v>
      </c>
      <c r="N53" s="78">
        <f>M53*$J$8*0.3048^2</f>
        <v>1.1947839007500006E-2</v>
      </c>
      <c r="Q53" s="81" t="s">
        <v>52</v>
      </c>
      <c r="R53" s="82" t="s">
        <v>56</v>
      </c>
      <c r="S53" s="82">
        <v>0.1</v>
      </c>
      <c r="T53" s="82">
        <v>0.26</v>
      </c>
      <c r="U53" s="83" t="s">
        <v>30</v>
      </c>
      <c r="V53" s="84" t="s">
        <v>30</v>
      </c>
    </row>
    <row r="54" spans="1:22">
      <c r="A54" s="67" t="s">
        <v>52</v>
      </c>
      <c r="B54" s="68" t="s">
        <v>53</v>
      </c>
      <c r="C54" s="68">
        <v>0.08</v>
      </c>
      <c r="D54" s="68">
        <v>0.21</v>
      </c>
      <c r="E54" s="69" t="s">
        <v>30</v>
      </c>
      <c r="F54" s="70" t="s">
        <v>30</v>
      </c>
      <c r="I54" s="63" t="s">
        <v>52</v>
      </c>
      <c r="J54" s="64" t="s">
        <v>53</v>
      </c>
      <c r="K54" s="64">
        <v>0.32</v>
      </c>
      <c r="L54" s="64">
        <v>0.12</v>
      </c>
      <c r="M54" s="65" t="s">
        <v>30</v>
      </c>
      <c r="N54" s="66" t="s">
        <v>30</v>
      </c>
      <c r="Q54" s="67" t="s">
        <v>52</v>
      </c>
      <c r="R54" s="68" t="s">
        <v>53</v>
      </c>
      <c r="S54" s="68">
        <v>7.0000000000000007E-2</v>
      </c>
      <c r="T54" s="68">
        <v>0.28999999999999998</v>
      </c>
      <c r="U54" s="69" t="s">
        <v>30</v>
      </c>
      <c r="V54" s="70" t="s">
        <v>30</v>
      </c>
    </row>
    <row r="55" spans="1:22">
      <c r="A55" s="67" t="s">
        <v>52</v>
      </c>
      <c r="B55" s="68" t="s">
        <v>54</v>
      </c>
      <c r="C55" s="68">
        <v>0.08</v>
      </c>
      <c r="D55" s="68">
        <v>0.19</v>
      </c>
      <c r="E55" s="69" t="s">
        <v>30</v>
      </c>
      <c r="F55" s="70" t="s">
        <v>30</v>
      </c>
      <c r="I55" s="67" t="s">
        <v>52</v>
      </c>
      <c r="J55" s="68" t="s">
        <v>54</v>
      </c>
      <c r="K55" s="68">
        <v>0.32</v>
      </c>
      <c r="L55" s="68">
        <v>0.11</v>
      </c>
      <c r="M55" s="69" t="s">
        <v>30</v>
      </c>
      <c r="N55" s="70" t="s">
        <v>30</v>
      </c>
      <c r="Q55" s="67" t="s">
        <v>52</v>
      </c>
      <c r="R55" s="68" t="s">
        <v>54</v>
      </c>
      <c r="S55" s="68">
        <v>7.0000000000000007E-2</v>
      </c>
      <c r="T55" s="68">
        <v>0.3</v>
      </c>
      <c r="U55" s="69" t="s">
        <v>30</v>
      </c>
      <c r="V55" s="70" t="s">
        <v>30</v>
      </c>
    </row>
    <row r="56" spans="1:22">
      <c r="A56" s="67" t="s">
        <v>52</v>
      </c>
      <c r="B56" s="68" t="s">
        <v>55</v>
      </c>
      <c r="C56" s="68">
        <v>0.08</v>
      </c>
      <c r="D56" s="68">
        <v>0.19</v>
      </c>
      <c r="E56" s="69" t="s">
        <v>30</v>
      </c>
      <c r="F56" s="70" t="s">
        <v>30</v>
      </c>
      <c r="I56" s="67" t="s">
        <v>52</v>
      </c>
      <c r="J56" s="68" t="s">
        <v>55</v>
      </c>
      <c r="K56" s="68">
        <v>0.32</v>
      </c>
      <c r="L56" s="68">
        <v>0.11</v>
      </c>
      <c r="M56" s="69" t="s">
        <v>30</v>
      </c>
      <c r="N56" s="70" t="s">
        <v>30</v>
      </c>
      <c r="Q56" s="67" t="s">
        <v>52</v>
      </c>
      <c r="R56" s="68" t="s">
        <v>55</v>
      </c>
      <c r="S56" s="68">
        <v>7.0000000000000007E-2</v>
      </c>
      <c r="T56" s="68">
        <v>0.28000000000000003</v>
      </c>
      <c r="U56" s="69" t="s">
        <v>30</v>
      </c>
      <c r="V56" s="70" t="s">
        <v>30</v>
      </c>
    </row>
    <row r="57" spans="1:22">
      <c r="A57" s="67" t="s">
        <v>52</v>
      </c>
      <c r="B57" s="68" t="s">
        <v>56</v>
      </c>
      <c r="C57" s="68">
        <v>0.08</v>
      </c>
      <c r="D57" s="68">
        <v>0.21</v>
      </c>
      <c r="E57" s="69" t="s">
        <v>30</v>
      </c>
      <c r="F57" s="70" t="s">
        <v>30</v>
      </c>
      <c r="I57" s="67" t="s">
        <v>52</v>
      </c>
      <c r="J57" s="68" t="s">
        <v>56</v>
      </c>
      <c r="K57" s="68">
        <v>0.32</v>
      </c>
      <c r="L57" s="68">
        <v>0.1</v>
      </c>
      <c r="M57" s="69" t="s">
        <v>30</v>
      </c>
      <c r="N57" s="70" t="s">
        <v>30</v>
      </c>
      <c r="Q57" s="67" t="s">
        <v>52</v>
      </c>
      <c r="R57" s="68" t="s">
        <v>56</v>
      </c>
      <c r="S57" s="68">
        <v>7.0000000000000007E-2</v>
      </c>
      <c r="T57" s="68">
        <v>0.26</v>
      </c>
      <c r="U57" s="69" t="s">
        <v>30</v>
      </c>
      <c r="V57" s="70" t="s">
        <v>30</v>
      </c>
    </row>
    <row r="58" spans="1:22">
      <c r="A58" s="5" t="s">
        <v>52</v>
      </c>
      <c r="B58" s="3" t="s">
        <v>53</v>
      </c>
      <c r="C58" s="3">
        <v>0.04</v>
      </c>
      <c r="D58" s="82">
        <v>0.21</v>
      </c>
      <c r="E58" s="35" t="s">
        <v>30</v>
      </c>
      <c r="F58" s="52" t="s">
        <v>30</v>
      </c>
      <c r="I58" s="5" t="s">
        <v>52</v>
      </c>
      <c r="J58" s="3" t="s">
        <v>53</v>
      </c>
      <c r="K58" s="3">
        <v>0.25</v>
      </c>
      <c r="L58" s="82">
        <v>0.11</v>
      </c>
      <c r="M58" s="35" t="s">
        <v>30</v>
      </c>
      <c r="N58" s="52" t="s">
        <v>30</v>
      </c>
      <c r="Q58" s="81" t="s">
        <v>52</v>
      </c>
      <c r="R58" s="82" t="s">
        <v>53</v>
      </c>
      <c r="S58" s="82">
        <v>0.04</v>
      </c>
      <c r="T58" s="82">
        <v>0.28999999999999998</v>
      </c>
      <c r="U58" s="83" t="s">
        <v>30</v>
      </c>
      <c r="V58" s="84" t="s">
        <v>30</v>
      </c>
    </row>
    <row r="59" spans="1:22">
      <c r="A59" s="5" t="s">
        <v>52</v>
      </c>
      <c r="B59" s="3" t="s">
        <v>54</v>
      </c>
      <c r="C59" s="3">
        <v>0.04</v>
      </c>
      <c r="D59" s="82">
        <v>0.19</v>
      </c>
      <c r="E59" s="35" t="s">
        <v>30</v>
      </c>
      <c r="F59" s="52" t="s">
        <v>30</v>
      </c>
      <c r="I59" s="5" t="s">
        <v>52</v>
      </c>
      <c r="J59" s="3" t="s">
        <v>54</v>
      </c>
      <c r="K59" s="3">
        <v>0.25</v>
      </c>
      <c r="L59" s="82">
        <v>0.11</v>
      </c>
      <c r="M59" s="35" t="s">
        <v>30</v>
      </c>
      <c r="N59" s="52" t="s">
        <v>30</v>
      </c>
      <c r="Q59" s="81" t="s">
        <v>52</v>
      </c>
      <c r="R59" s="82" t="s">
        <v>54</v>
      </c>
      <c r="S59" s="82">
        <v>0.04</v>
      </c>
      <c r="T59" s="82">
        <v>0.3</v>
      </c>
      <c r="U59" s="83" t="s">
        <v>30</v>
      </c>
      <c r="V59" s="84" t="s">
        <v>30</v>
      </c>
    </row>
    <row r="60" spans="1:22">
      <c r="A60" s="5" t="s">
        <v>52</v>
      </c>
      <c r="B60" s="3" t="s">
        <v>55</v>
      </c>
      <c r="C60" s="3">
        <v>0.04</v>
      </c>
      <c r="D60" s="82">
        <v>0.19</v>
      </c>
      <c r="E60" s="35" t="s">
        <v>30</v>
      </c>
      <c r="F60" s="52" t="s">
        <v>30</v>
      </c>
      <c r="I60" s="5" t="s">
        <v>52</v>
      </c>
      <c r="J60" s="3" t="s">
        <v>55</v>
      </c>
      <c r="K60" s="3">
        <v>0.25</v>
      </c>
      <c r="L60" s="82">
        <v>0.11</v>
      </c>
      <c r="M60" s="35" t="s">
        <v>30</v>
      </c>
      <c r="N60" s="52" t="s">
        <v>30</v>
      </c>
      <c r="Q60" s="81" t="s">
        <v>52</v>
      </c>
      <c r="R60" s="82" t="s">
        <v>55</v>
      </c>
      <c r="S60" s="82">
        <v>0.04</v>
      </c>
      <c r="T60" s="82">
        <v>0.28000000000000003</v>
      </c>
      <c r="U60" s="83" t="s">
        <v>30</v>
      </c>
      <c r="V60" s="84" t="s">
        <v>30</v>
      </c>
    </row>
    <row r="61" spans="1:22" ht="15.75" thickBot="1">
      <c r="A61" s="6" t="s">
        <v>52</v>
      </c>
      <c r="B61" s="7" t="s">
        <v>56</v>
      </c>
      <c r="C61" s="7">
        <v>0.04</v>
      </c>
      <c r="D61" s="86">
        <v>0.2</v>
      </c>
      <c r="E61" s="77">
        <f>AVERAGE(D46:D61)</f>
        <v>0.18562499999999998</v>
      </c>
      <c r="F61" s="78">
        <f>E61*$B$8*0.3048^2</f>
        <v>1.2305116518750001E-2</v>
      </c>
      <c r="I61" s="5" t="s">
        <v>52</v>
      </c>
      <c r="J61" s="3" t="s">
        <v>56</v>
      </c>
      <c r="K61" s="3">
        <v>0.25</v>
      </c>
      <c r="L61" s="82">
        <v>0.11</v>
      </c>
      <c r="M61" s="35" t="s">
        <v>30</v>
      </c>
      <c r="N61" s="52" t="s">
        <v>30</v>
      </c>
      <c r="Q61" s="85" t="s">
        <v>52</v>
      </c>
      <c r="R61" s="86" t="s">
        <v>56</v>
      </c>
      <c r="S61" s="86">
        <v>0.04</v>
      </c>
      <c r="T61" s="86">
        <v>0.26</v>
      </c>
      <c r="U61" s="77">
        <f>AVERAGE(T46:T61)</f>
        <v>0.27562500000000001</v>
      </c>
      <c r="V61" s="78">
        <f>U61*$R$8*0.3048^2</f>
        <v>1.2669833531250001E-2</v>
      </c>
    </row>
    <row r="62" spans="1:22">
      <c r="I62" s="67" t="s">
        <v>52</v>
      </c>
      <c r="J62" s="68" t="s">
        <v>53</v>
      </c>
      <c r="K62" s="68">
        <v>0.18</v>
      </c>
      <c r="L62" s="68">
        <v>0.11</v>
      </c>
      <c r="M62" s="69" t="s">
        <v>30</v>
      </c>
      <c r="N62" s="70" t="s">
        <v>30</v>
      </c>
    </row>
    <row r="63" spans="1:22">
      <c r="I63" s="67" t="s">
        <v>52</v>
      </c>
      <c r="J63" s="68" t="s">
        <v>54</v>
      </c>
      <c r="K63" s="68">
        <v>0.18</v>
      </c>
      <c r="L63" s="68">
        <v>0.11</v>
      </c>
      <c r="M63" s="69" t="s">
        <v>30</v>
      </c>
      <c r="N63" s="70" t="s">
        <v>30</v>
      </c>
    </row>
    <row r="64" spans="1:22">
      <c r="I64" s="67" t="s">
        <v>52</v>
      </c>
      <c r="J64" s="68" t="s">
        <v>55</v>
      </c>
      <c r="K64" s="68">
        <v>0.18</v>
      </c>
      <c r="L64" s="68">
        <v>0.11</v>
      </c>
      <c r="M64" s="69" t="s">
        <v>30</v>
      </c>
      <c r="N64" s="70" t="s">
        <v>30</v>
      </c>
      <c r="Q64" s="10" t="s">
        <v>57</v>
      </c>
    </row>
    <row r="65" spans="1:18" ht="18">
      <c r="I65" s="67" t="s">
        <v>52</v>
      </c>
      <c r="J65" s="68" t="s">
        <v>56</v>
      </c>
      <c r="K65" s="68">
        <v>0.18</v>
      </c>
      <c r="L65" s="68">
        <v>0.12</v>
      </c>
      <c r="M65" s="69" t="s">
        <v>30</v>
      </c>
      <c r="N65" s="70" t="s">
        <v>30</v>
      </c>
      <c r="Q65" s="2" t="s">
        <v>5</v>
      </c>
      <c r="R65" s="3">
        <v>5.0000000000000001E-3</v>
      </c>
    </row>
    <row r="66" spans="1:18" ht="18.75">
      <c r="I66" s="5" t="s">
        <v>52</v>
      </c>
      <c r="J66" s="3" t="s">
        <v>53</v>
      </c>
      <c r="K66" s="3">
        <v>0.11</v>
      </c>
      <c r="L66" s="82">
        <v>0.11</v>
      </c>
      <c r="M66" s="35" t="s">
        <v>30</v>
      </c>
      <c r="N66" s="52" t="s">
        <v>30</v>
      </c>
      <c r="Q66" s="2" t="s">
        <v>6</v>
      </c>
      <c r="R66" s="3">
        <v>1.486</v>
      </c>
    </row>
    <row r="67" spans="1:18" ht="18">
      <c r="A67" s="10" t="s">
        <v>57</v>
      </c>
      <c r="C67" s="23"/>
      <c r="D67" s="116"/>
      <c r="I67" s="5" t="s">
        <v>52</v>
      </c>
      <c r="J67" s="3" t="s">
        <v>54</v>
      </c>
      <c r="K67" s="3">
        <v>0.11</v>
      </c>
      <c r="L67" s="82">
        <v>0.11</v>
      </c>
      <c r="M67" s="35" t="s">
        <v>30</v>
      </c>
      <c r="N67" s="52" t="s">
        <v>30</v>
      </c>
      <c r="Q67" s="2" t="s">
        <v>58</v>
      </c>
      <c r="R67" s="30">
        <f>($B$6*AVERAGE(U4:U5)/12)/(2*AVERAGE(U4:U5)/12+$B$6)</f>
        <v>0.24869109947643978</v>
      </c>
    </row>
    <row r="68" spans="1:18" ht="18">
      <c r="A68" s="13" t="s">
        <v>5</v>
      </c>
      <c r="B68" s="3">
        <v>5.0000000000000001E-3</v>
      </c>
      <c r="C68" s="23"/>
      <c r="D68" s="22"/>
      <c r="I68" s="5" t="s">
        <v>52</v>
      </c>
      <c r="J68" s="3" t="s">
        <v>55</v>
      </c>
      <c r="K68" s="3">
        <v>0.11</v>
      </c>
      <c r="L68" s="82">
        <v>0.11</v>
      </c>
      <c r="M68" s="35" t="s">
        <v>30</v>
      </c>
      <c r="N68" s="52" t="s">
        <v>30</v>
      </c>
      <c r="Q68" s="2" t="s">
        <v>59</v>
      </c>
      <c r="R68" s="131">
        <f>R66*R67^(2/3)*SQRT(R65)/CONVERT(AVERAGE(U61),"m","ft")</f>
        <v>4.595227271912615E-2</v>
      </c>
    </row>
    <row r="69" spans="1:18" ht="18.75">
      <c r="A69" s="13" t="s">
        <v>6</v>
      </c>
      <c r="B69" s="3">
        <v>1.486</v>
      </c>
      <c r="C69" s="23"/>
      <c r="D69" s="22"/>
      <c r="I69" s="5" t="s">
        <v>52</v>
      </c>
      <c r="J69" s="3" t="s">
        <v>56</v>
      </c>
      <c r="K69" s="3">
        <v>0.11</v>
      </c>
      <c r="L69" s="82">
        <v>0.11</v>
      </c>
      <c r="M69" s="35" t="s">
        <v>30</v>
      </c>
      <c r="N69" s="52" t="s">
        <v>30</v>
      </c>
    </row>
    <row r="70" spans="1:18" ht="18">
      <c r="A70" s="13" t="s">
        <v>58</v>
      </c>
      <c r="B70" s="30">
        <f>($B$6*AVERAGE(E4:E5)/12)/(2*AVERAGE(E4:E5)/12+$B$6)</f>
        <v>0.29399141630901288</v>
      </c>
      <c r="C70" s="23"/>
      <c r="D70" s="22"/>
      <c r="I70" s="67" t="s">
        <v>52</v>
      </c>
      <c r="J70" s="68" t="s">
        <v>53</v>
      </c>
      <c r="K70" s="68">
        <v>0.04</v>
      </c>
      <c r="L70" s="68">
        <v>0.09</v>
      </c>
      <c r="M70" s="69" t="s">
        <v>30</v>
      </c>
      <c r="N70" s="70" t="s">
        <v>30</v>
      </c>
    </row>
    <row r="71" spans="1:18">
      <c r="A71" s="13" t="s">
        <v>59</v>
      </c>
      <c r="B71" s="14">
        <f>B69*B70^(2/3)*SQRT(B68)/CONVERT(AVERAGE(E61),"m","ft")</f>
        <v>7.6284928101093399E-2</v>
      </c>
      <c r="C71" s="23"/>
      <c r="D71" s="22"/>
      <c r="I71" s="67" t="s">
        <v>52</v>
      </c>
      <c r="J71" s="68" t="s">
        <v>54</v>
      </c>
      <c r="K71" s="68">
        <v>0.04</v>
      </c>
      <c r="L71" s="68">
        <v>0.1</v>
      </c>
      <c r="M71" s="69" t="s">
        <v>30</v>
      </c>
      <c r="N71" s="70" t="s">
        <v>30</v>
      </c>
    </row>
    <row r="72" spans="1:18">
      <c r="A72" s="23"/>
      <c r="B72" s="23"/>
      <c r="C72" s="23"/>
      <c r="D72" s="22"/>
      <c r="I72" s="67" t="s">
        <v>52</v>
      </c>
      <c r="J72" s="68" t="s">
        <v>55</v>
      </c>
      <c r="K72" s="68">
        <v>0.04</v>
      </c>
      <c r="L72" s="68">
        <v>0.1</v>
      </c>
      <c r="M72" s="69" t="s">
        <v>30</v>
      </c>
      <c r="N72" s="70" t="s">
        <v>30</v>
      </c>
    </row>
    <row r="73" spans="1:18" ht="15.75" thickBot="1">
      <c r="I73" s="79" t="s">
        <v>52</v>
      </c>
      <c r="J73" s="80" t="s">
        <v>56</v>
      </c>
      <c r="K73" s="80">
        <v>0.04</v>
      </c>
      <c r="L73" s="80">
        <v>0.11</v>
      </c>
      <c r="M73" s="77">
        <f>AVERAGE(L54:L73)</f>
        <v>0.10850000000000001</v>
      </c>
      <c r="N73" s="78">
        <f>M73*$J$8*0.3048^2</f>
        <v>1.1838726322500001E-2</v>
      </c>
    </row>
    <row r="75" spans="1:18">
      <c r="E75" s="23"/>
      <c r="F75" s="23"/>
      <c r="G75" s="23"/>
      <c r="H75" s="23"/>
      <c r="I75" s="10" t="s">
        <v>57</v>
      </c>
      <c r="K75" s="23"/>
      <c r="L75" s="116"/>
      <c r="M75" s="23"/>
      <c r="N75" s="23"/>
    </row>
    <row r="76" spans="1:18" ht="18">
      <c r="E76" s="31"/>
      <c r="F76" s="23"/>
      <c r="G76" s="23"/>
      <c r="H76" s="23"/>
      <c r="I76" s="2" t="s">
        <v>5</v>
      </c>
      <c r="J76" s="3">
        <v>5.0000000000000001E-3</v>
      </c>
      <c r="K76" s="23"/>
      <c r="L76" s="22"/>
      <c r="M76" s="31"/>
      <c r="N76" s="23"/>
    </row>
    <row r="77" spans="1:18" ht="18.75">
      <c r="E77" s="31"/>
      <c r="F77" s="23"/>
      <c r="G77" s="23"/>
      <c r="H77" s="23"/>
      <c r="I77" s="2" t="s">
        <v>6</v>
      </c>
      <c r="J77" s="3">
        <v>1.486</v>
      </c>
      <c r="K77" s="23"/>
      <c r="L77" s="22"/>
      <c r="M77" s="31"/>
      <c r="N77" s="23"/>
    </row>
    <row r="78" spans="1:18" ht="18">
      <c r="E78" s="37"/>
      <c r="F78" s="23"/>
      <c r="G78" s="23"/>
      <c r="H78" s="23"/>
      <c r="I78" s="2" t="s">
        <v>58</v>
      </c>
      <c r="J78" s="30">
        <f>($B$6*AVERAGE(M4:M5)/12)/(2*AVERAGE(M4:M5)/12+$B$6)</f>
        <v>0.35069984447900465</v>
      </c>
      <c r="K78" s="23"/>
      <c r="L78" s="22"/>
      <c r="M78" s="37"/>
      <c r="N78" s="23"/>
    </row>
    <row r="79" spans="1:18">
      <c r="E79" s="37"/>
      <c r="F79" s="23"/>
      <c r="G79" s="23"/>
      <c r="H79" s="23"/>
      <c r="I79" s="2" t="s">
        <v>59</v>
      </c>
      <c r="J79" s="131">
        <f>J77*J78^(2/3)*SQRT(J76)/CONVERT(AVERAGE(M73),"m","ft")</f>
        <v>0.14679550306500971</v>
      </c>
      <c r="K79" s="23"/>
      <c r="L79" s="22"/>
      <c r="M79" s="37"/>
      <c r="N79" s="23"/>
    </row>
    <row r="80" spans="1:18">
      <c r="E80" s="37"/>
      <c r="F80" s="23"/>
      <c r="G80" s="23"/>
      <c r="H80" s="23"/>
      <c r="I80" s="23"/>
      <c r="J80" s="23"/>
      <c r="K80" s="23"/>
      <c r="L80" s="22"/>
      <c r="M80" s="37"/>
      <c r="N80" s="23"/>
    </row>
    <row r="81" spans="1:14">
      <c r="A81" s="23"/>
      <c r="B81" s="23"/>
      <c r="C81" s="23"/>
      <c r="D81" s="22"/>
      <c r="E81" s="31"/>
      <c r="F81" s="23"/>
      <c r="G81" s="23"/>
      <c r="H81" s="23"/>
      <c r="I81" s="23"/>
      <c r="J81" s="23"/>
      <c r="K81" s="23"/>
      <c r="L81" s="22"/>
      <c r="M81" s="31"/>
      <c r="N81" s="23"/>
    </row>
    <row r="82" spans="1:1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workbookViewId="0">
      <selection activeCell="E78" sqref="E78"/>
    </sheetView>
  </sheetViews>
  <sheetFormatPr defaultRowHeight="15"/>
  <cols>
    <col min="1" max="1" width="12.28515625" customWidth="1"/>
    <col min="3" max="3" width="13.28515625" customWidth="1"/>
    <col min="4" max="4" width="13.42578125" customWidth="1"/>
    <col min="5" max="5" width="10.5703125" bestFit="1" customWidth="1"/>
    <col min="6" max="6" width="10" customWidth="1"/>
    <col min="9" max="9" width="12" customWidth="1"/>
    <col min="10" max="10" width="12.28515625" customWidth="1"/>
    <col min="12" max="12" width="13.140625" customWidth="1"/>
    <col min="13" max="13" width="12.42578125" customWidth="1"/>
    <col min="14" max="14" width="10.140625" customWidth="1"/>
    <col min="15" max="15" width="9.85546875" customWidth="1"/>
    <col min="17" max="17" width="11.85546875" customWidth="1"/>
    <col min="18" max="18" width="9.140625" customWidth="1"/>
    <col min="19" max="19" width="11.42578125" customWidth="1"/>
    <col min="20" max="20" width="12.85546875" customWidth="1"/>
    <col min="21" max="21" width="10.28515625" customWidth="1"/>
    <col min="22" max="22" width="12.7109375" customWidth="1"/>
    <col min="23" max="23" width="10.28515625" customWidth="1"/>
    <col min="24" max="24" width="9.85546875" customWidth="1"/>
  </cols>
  <sheetData>
    <row r="1" spans="1:25">
      <c r="A1" t="s">
        <v>374</v>
      </c>
    </row>
    <row r="2" spans="1:25" ht="15.75" thickBot="1">
      <c r="A2" s="9" t="s">
        <v>33</v>
      </c>
      <c r="B2" s="9"/>
      <c r="C2" s="28">
        <v>42222</v>
      </c>
      <c r="I2" s="9" t="s">
        <v>33</v>
      </c>
      <c r="J2" s="9"/>
      <c r="K2" s="38">
        <v>42222</v>
      </c>
      <c r="Q2" s="9" t="s">
        <v>33</v>
      </c>
      <c r="R2" s="9"/>
      <c r="S2" s="38">
        <v>42222</v>
      </c>
    </row>
    <row r="3" spans="1:25" ht="15.75" thickBot="1">
      <c r="A3" s="16" t="s">
        <v>21</v>
      </c>
      <c r="B3" s="17" t="s">
        <v>22</v>
      </c>
      <c r="I3" s="16" t="s">
        <v>21</v>
      </c>
      <c r="J3" s="17" t="s">
        <v>39</v>
      </c>
      <c r="Q3" s="16" t="s">
        <v>21</v>
      </c>
      <c r="R3" s="17" t="s">
        <v>31</v>
      </c>
    </row>
    <row r="4" spans="1:25" ht="18">
      <c r="A4" s="18" t="s">
        <v>5</v>
      </c>
      <c r="B4" s="8">
        <v>5.0000000000000001E-3</v>
      </c>
      <c r="D4" s="16" t="s">
        <v>34</v>
      </c>
      <c r="E4" s="17">
        <f>8+7/16</f>
        <v>8.4375</v>
      </c>
      <c r="I4" s="18" t="s">
        <v>5</v>
      </c>
      <c r="J4" s="8">
        <v>5.0000000000000001E-3</v>
      </c>
      <c r="L4" s="16" t="s">
        <v>34</v>
      </c>
      <c r="M4" s="17">
        <f>14+1/16</f>
        <v>14.0625</v>
      </c>
      <c r="Q4" s="18" t="s">
        <v>5</v>
      </c>
      <c r="R4" s="8">
        <v>5.0000000000000001E-3</v>
      </c>
      <c r="T4" s="16" t="s">
        <v>34</v>
      </c>
      <c r="U4" s="17">
        <f>5+15/16</f>
        <v>5.9375</v>
      </c>
    </row>
    <row r="5" spans="1:25" ht="18">
      <c r="A5" s="18" t="s">
        <v>14</v>
      </c>
      <c r="B5" s="26">
        <v>5</v>
      </c>
      <c r="C5" t="s">
        <v>15</v>
      </c>
      <c r="D5" s="18" t="s">
        <v>35</v>
      </c>
      <c r="E5" s="8">
        <f>8+7/16</f>
        <v>8.4375</v>
      </c>
      <c r="G5" t="s">
        <v>232</v>
      </c>
      <c r="I5" s="18" t="s">
        <v>14</v>
      </c>
      <c r="J5" s="26">
        <v>5</v>
      </c>
      <c r="K5" t="s">
        <v>15</v>
      </c>
      <c r="L5" s="18" t="s">
        <v>35</v>
      </c>
      <c r="M5" s="8">
        <f>14+1/8</f>
        <v>14.125</v>
      </c>
      <c r="O5" t="s">
        <v>232</v>
      </c>
      <c r="Q5" s="18" t="s">
        <v>14</v>
      </c>
      <c r="R5" s="26">
        <v>5</v>
      </c>
      <c r="S5" t="s">
        <v>15</v>
      </c>
      <c r="T5" s="18" t="s">
        <v>35</v>
      </c>
      <c r="U5" s="8">
        <f>5+15/16</f>
        <v>5.9375</v>
      </c>
      <c r="W5" t="s">
        <v>232</v>
      </c>
    </row>
    <row r="6" spans="1:25" ht="18">
      <c r="A6" s="18" t="s">
        <v>23</v>
      </c>
      <c r="B6" s="8">
        <v>1</v>
      </c>
      <c r="D6" s="32" t="s">
        <v>38</v>
      </c>
      <c r="E6" s="25">
        <f>E7/0.3048</f>
        <v>0.61652449693788269</v>
      </c>
      <c r="G6">
        <f>CONVERT(E4,"in","m")</f>
        <v>0.21431249999999999</v>
      </c>
      <c r="I6" s="18" t="s">
        <v>23</v>
      </c>
      <c r="J6" s="8">
        <v>1</v>
      </c>
      <c r="L6" s="32" t="s">
        <v>38</v>
      </c>
      <c r="M6" s="25">
        <f>M7/0.3048</f>
        <v>0.34776902887139116</v>
      </c>
      <c r="O6">
        <f>CONVERT(M5,"in","m")</f>
        <v>0.35877500000000001</v>
      </c>
      <c r="Q6" s="18" t="s">
        <v>23</v>
      </c>
      <c r="R6" s="8">
        <v>1</v>
      </c>
      <c r="T6" s="32" t="s">
        <v>38</v>
      </c>
      <c r="U6" s="25">
        <f>U7/0.3048</f>
        <v>0.90564851268591429</v>
      </c>
      <c r="W6">
        <f>CONVERT(U4,"in","m")</f>
        <v>0.15081249999999999</v>
      </c>
    </row>
    <row r="7" spans="1:25" ht="18">
      <c r="A7" s="18" t="s">
        <v>0</v>
      </c>
      <c r="B7" s="8">
        <f>AVERAGE(E4:E5)</f>
        <v>8.4375</v>
      </c>
      <c r="D7" s="32" t="s">
        <v>25</v>
      </c>
      <c r="E7" s="25">
        <f>AVERAGE(F29,F45,F61)</f>
        <v>0.18791666666666665</v>
      </c>
      <c r="G7">
        <f>G6/4</f>
        <v>5.3578124999999997E-2</v>
      </c>
      <c r="I7" s="18" t="s">
        <v>0</v>
      </c>
      <c r="J7" s="26">
        <f>AVERAGE(M4:M5)</f>
        <v>14.09375</v>
      </c>
      <c r="L7" s="32" t="s">
        <v>25</v>
      </c>
      <c r="M7" s="25">
        <f>AVERAGE(O33,O53,O73)</f>
        <v>0.10600000000000002</v>
      </c>
      <c r="O7">
        <f>O6/5</f>
        <v>7.1754999999999999E-2</v>
      </c>
      <c r="Q7" s="18" t="s">
        <v>0</v>
      </c>
      <c r="R7" s="26">
        <f>AVERAGE(U4:U5)</f>
        <v>5.9375</v>
      </c>
      <c r="T7" s="32" t="s">
        <v>25</v>
      </c>
      <c r="U7" s="25">
        <f>AVERAGE(X29,X45,X61)</f>
        <v>0.27604166666666669</v>
      </c>
      <c r="W7">
        <f>W6/4</f>
        <v>3.7703124999999997E-2</v>
      </c>
    </row>
    <row r="8" spans="1:25" ht="18.75">
      <c r="A8" s="18" t="s">
        <v>26</v>
      </c>
      <c r="B8" s="25">
        <f>B6*B7/12</f>
        <v>0.703125</v>
      </c>
      <c r="D8" s="32" t="s">
        <v>37</v>
      </c>
      <c r="E8" s="25">
        <f>E9/0.3048^3</f>
        <v>0.43349378690944879</v>
      </c>
      <c r="G8" s="12">
        <f>G6-0.5*G7</f>
        <v>0.1875234375</v>
      </c>
      <c r="H8" s="59">
        <v>1</v>
      </c>
      <c r="I8" s="18" t="s">
        <v>26</v>
      </c>
      <c r="J8" s="25">
        <f>J6*J7/12</f>
        <v>1.1744791666666667</v>
      </c>
      <c r="L8" s="32" t="s">
        <v>37</v>
      </c>
      <c r="M8" s="25">
        <f>M9/0.3048^3</f>
        <v>0.40844747922134744</v>
      </c>
      <c r="O8" s="12">
        <f>O6-0.5*O7</f>
        <v>0.3228975</v>
      </c>
      <c r="Q8" s="18" t="s">
        <v>26</v>
      </c>
      <c r="R8" s="25">
        <f>R6*R7/12</f>
        <v>0.49479166666666669</v>
      </c>
      <c r="T8" s="32" t="s">
        <v>37</v>
      </c>
      <c r="U8" s="25">
        <f>U9/0.3048^3</f>
        <v>0.44810733700605132</v>
      </c>
      <c r="W8" s="12">
        <f>W6-0.5*W7</f>
        <v>0.13196093749999999</v>
      </c>
    </row>
    <row r="9" spans="1:25" ht="18.75" thickBot="1">
      <c r="A9" s="18" t="s">
        <v>27</v>
      </c>
      <c r="B9" s="26">
        <v>1.75</v>
      </c>
      <c r="D9" s="33" t="s">
        <v>36</v>
      </c>
      <c r="E9" s="34">
        <f>AVERAGE(G29,G45,G61)</f>
        <v>1.2275177062500002E-2</v>
      </c>
      <c r="G9" s="12">
        <f>G6-1.5*G7</f>
        <v>0.1339453125</v>
      </c>
      <c r="H9" s="59">
        <v>2</v>
      </c>
      <c r="I9" s="18" t="s">
        <v>27</v>
      </c>
      <c r="J9" s="26">
        <v>1.75</v>
      </c>
      <c r="L9" s="33" t="s">
        <v>36</v>
      </c>
      <c r="M9" s="34">
        <f>AVERAGE(P33,P53,P73)</f>
        <v>1.1565944610000005E-2</v>
      </c>
      <c r="O9" s="12">
        <f>O6-1.5*O7</f>
        <v>0.25114250000000005</v>
      </c>
      <c r="Q9" s="18" t="s">
        <v>27</v>
      </c>
      <c r="R9" s="26">
        <f>1+10/16</f>
        <v>1.625</v>
      </c>
      <c r="T9" s="33" t="s">
        <v>36</v>
      </c>
      <c r="U9" s="34">
        <f>AVERAGE(Y29,Y45,Y61)</f>
        <v>1.2688986718750002E-2</v>
      </c>
      <c r="W9" s="12">
        <f>W6-1.5*W7</f>
        <v>9.4257812499999996E-2</v>
      </c>
    </row>
    <row r="10" spans="1:25" ht="18">
      <c r="A10" s="18" t="s">
        <v>28</v>
      </c>
      <c r="B10" s="25">
        <f>SQRT(32.2)*B6*(B9/12)^(3/2)</f>
        <v>0.31601896021851694</v>
      </c>
      <c r="G10" s="12">
        <f>G6-2.5*G7</f>
        <v>8.0367187499999992E-2</v>
      </c>
      <c r="H10" s="59">
        <v>3</v>
      </c>
      <c r="I10" s="18" t="s">
        <v>28</v>
      </c>
      <c r="J10" s="25">
        <f>SQRT(32.2)*J6*(J9/12)^(3/2)</f>
        <v>0.31601896021851694</v>
      </c>
      <c r="O10" s="12">
        <f>O6-2.5*O7</f>
        <v>0.17938750000000001</v>
      </c>
      <c r="Q10" s="18" t="s">
        <v>28</v>
      </c>
      <c r="R10" s="25">
        <f>SQRT(32.2)*R6*(R9/12)^(3/2)</f>
        <v>0.28277181196466955</v>
      </c>
      <c r="W10" s="12">
        <f>W6-2.5*W7</f>
        <v>5.6554687499999992E-2</v>
      </c>
    </row>
    <row r="11" spans="1:25" ht="18.75" thickBot="1">
      <c r="A11" s="27" t="s">
        <v>29</v>
      </c>
      <c r="B11" s="34">
        <f>B10*0.3048^3</f>
        <v>8.9486604166710958E-3</v>
      </c>
      <c r="D11" s="11"/>
      <c r="G11" s="12">
        <f>G6-3.5*G7</f>
        <v>2.6789062499999988E-2</v>
      </c>
      <c r="H11" s="59">
        <v>4</v>
      </c>
      <c r="I11" s="27" t="s">
        <v>29</v>
      </c>
      <c r="J11" s="34">
        <f>J10*0.3048^3</f>
        <v>8.9486604166710958E-3</v>
      </c>
      <c r="L11" s="11"/>
      <c r="O11" s="12">
        <f>O6-3.5*O7</f>
        <v>0.10763250000000002</v>
      </c>
      <c r="Q11" s="27" t="s">
        <v>29</v>
      </c>
      <c r="R11" s="34">
        <f>R10*0.3048^3</f>
        <v>8.0072060199454197E-3</v>
      </c>
      <c r="T11" s="11"/>
      <c r="W11" s="12">
        <f>W6-3.5*W7</f>
        <v>1.8851562500000002E-2</v>
      </c>
    </row>
    <row r="12" spans="1:25" ht="15.75" thickBot="1"/>
    <row r="13" spans="1:25" ht="19.5" thickBot="1">
      <c r="A13" s="45" t="s">
        <v>7</v>
      </c>
      <c r="B13" s="46" t="s">
        <v>10</v>
      </c>
      <c r="C13" s="46" t="s">
        <v>8</v>
      </c>
      <c r="D13" s="46" t="s">
        <v>9</v>
      </c>
      <c r="E13" s="46" t="s">
        <v>73</v>
      </c>
      <c r="F13" s="46" t="s">
        <v>25</v>
      </c>
      <c r="G13" s="47" t="s">
        <v>3</v>
      </c>
      <c r="H13" s="12"/>
      <c r="I13" s="59"/>
      <c r="J13" s="60" t="s">
        <v>7</v>
      </c>
      <c r="K13" s="61" t="s">
        <v>10</v>
      </c>
      <c r="L13" s="61" t="s">
        <v>8</v>
      </c>
      <c r="M13" s="61" t="s">
        <v>9</v>
      </c>
      <c r="N13" s="46" t="s">
        <v>73</v>
      </c>
      <c r="O13" s="61" t="s">
        <v>25</v>
      </c>
      <c r="P13" s="62" t="s">
        <v>3</v>
      </c>
      <c r="Q13" s="12"/>
      <c r="S13" s="60" t="s">
        <v>7</v>
      </c>
      <c r="T13" s="61" t="s">
        <v>10</v>
      </c>
      <c r="U13" s="61" t="s">
        <v>8</v>
      </c>
      <c r="V13" s="61" t="s">
        <v>9</v>
      </c>
      <c r="W13" s="46" t="s">
        <v>73</v>
      </c>
      <c r="X13" s="61" t="s">
        <v>25</v>
      </c>
      <c r="Y13" s="62" t="s">
        <v>3</v>
      </c>
    </row>
    <row r="14" spans="1:25">
      <c r="A14" s="63" t="s">
        <v>32</v>
      </c>
      <c r="B14" s="64" t="s">
        <v>53</v>
      </c>
      <c r="C14" s="64">
        <v>0.19</v>
      </c>
      <c r="D14" s="64">
        <v>0.21</v>
      </c>
      <c r="E14" s="122">
        <f>D14^2</f>
        <v>4.4099999999999993E-2</v>
      </c>
      <c r="F14" s="65" t="s">
        <v>30</v>
      </c>
      <c r="G14" s="66" t="s">
        <v>30</v>
      </c>
      <c r="J14" s="71" t="s">
        <v>32</v>
      </c>
      <c r="K14" s="72" t="s">
        <v>53</v>
      </c>
      <c r="L14" s="72">
        <v>0.32</v>
      </c>
      <c r="M14" s="72">
        <v>0.12</v>
      </c>
      <c r="N14" s="72">
        <f>M14^2</f>
        <v>1.44E-2</v>
      </c>
      <c r="O14" s="73" t="s">
        <v>30</v>
      </c>
      <c r="P14" s="74" t="s">
        <v>30</v>
      </c>
      <c r="S14" s="71" t="s">
        <v>32</v>
      </c>
      <c r="T14" s="72" t="s">
        <v>53</v>
      </c>
      <c r="U14" s="72">
        <v>0.14000000000000001</v>
      </c>
      <c r="V14" s="72">
        <v>0.31</v>
      </c>
      <c r="W14" s="72">
        <f>V14^2</f>
        <v>9.6100000000000005E-2</v>
      </c>
      <c r="X14" s="73" t="s">
        <v>30</v>
      </c>
      <c r="Y14" s="74" t="s">
        <v>30</v>
      </c>
    </row>
    <row r="15" spans="1:25">
      <c r="A15" s="67" t="s">
        <v>32</v>
      </c>
      <c r="B15" s="68" t="s">
        <v>54</v>
      </c>
      <c r="C15" s="68">
        <v>0.19</v>
      </c>
      <c r="D15" s="68">
        <v>0.21</v>
      </c>
      <c r="E15" s="122">
        <f t="shared" ref="E15:E61" si="0">D15^2</f>
        <v>4.4099999999999993E-2</v>
      </c>
      <c r="F15" s="69" t="s">
        <v>30</v>
      </c>
      <c r="G15" s="70" t="s">
        <v>30</v>
      </c>
      <c r="J15" s="67" t="s">
        <v>32</v>
      </c>
      <c r="K15" s="68" t="s">
        <v>54</v>
      </c>
      <c r="L15" s="68">
        <v>0.32</v>
      </c>
      <c r="M15" s="68">
        <v>0.11</v>
      </c>
      <c r="N15" s="68">
        <f>M15^2</f>
        <v>1.21E-2</v>
      </c>
      <c r="O15" s="69" t="s">
        <v>30</v>
      </c>
      <c r="P15" s="70" t="s">
        <v>30</v>
      </c>
      <c r="S15" s="67" t="s">
        <v>32</v>
      </c>
      <c r="T15" s="68" t="s">
        <v>54</v>
      </c>
      <c r="U15" s="68">
        <v>0.14000000000000001</v>
      </c>
      <c r="V15" s="68">
        <v>0.28000000000000003</v>
      </c>
      <c r="W15" s="68">
        <f>V15^2</f>
        <v>7.8400000000000011E-2</v>
      </c>
      <c r="X15" s="69" t="s">
        <v>30</v>
      </c>
      <c r="Y15" s="70" t="s">
        <v>30</v>
      </c>
    </row>
    <row r="16" spans="1:25">
      <c r="A16" s="67" t="s">
        <v>32</v>
      </c>
      <c r="B16" s="68" t="s">
        <v>55</v>
      </c>
      <c r="C16" s="68">
        <v>0.19</v>
      </c>
      <c r="D16" s="68">
        <v>0.21</v>
      </c>
      <c r="E16" s="122">
        <f t="shared" si="0"/>
        <v>4.4099999999999993E-2</v>
      </c>
      <c r="F16" s="69" t="s">
        <v>30</v>
      </c>
      <c r="G16" s="70" t="s">
        <v>30</v>
      </c>
      <c r="J16" s="67" t="s">
        <v>32</v>
      </c>
      <c r="K16" s="68" t="s">
        <v>55</v>
      </c>
      <c r="L16" s="68">
        <v>0.32</v>
      </c>
      <c r="M16" s="68">
        <v>0.12</v>
      </c>
      <c r="N16" s="68">
        <f t="shared" ref="N16:N73" si="1">M16^2</f>
        <v>1.44E-2</v>
      </c>
      <c r="O16" s="69" t="s">
        <v>30</v>
      </c>
      <c r="P16" s="70" t="s">
        <v>30</v>
      </c>
      <c r="S16" s="67" t="s">
        <v>32</v>
      </c>
      <c r="T16" s="68" t="s">
        <v>55</v>
      </c>
      <c r="U16" s="68">
        <v>0.14000000000000001</v>
      </c>
      <c r="V16" s="68">
        <v>0.3</v>
      </c>
      <c r="W16" s="68">
        <f t="shared" ref="W16:W61" si="2">V16^2</f>
        <v>0.09</v>
      </c>
      <c r="X16" s="69" t="s">
        <v>30</v>
      </c>
      <c r="Y16" s="70" t="s">
        <v>30</v>
      </c>
    </row>
    <row r="17" spans="1:25">
      <c r="A17" s="67" t="s">
        <v>32</v>
      </c>
      <c r="B17" s="68" t="s">
        <v>56</v>
      </c>
      <c r="C17" s="68">
        <v>0.19</v>
      </c>
      <c r="D17" s="68">
        <v>0.21</v>
      </c>
      <c r="E17" s="122">
        <f t="shared" si="0"/>
        <v>4.4099999999999993E-2</v>
      </c>
      <c r="F17" s="69" t="s">
        <v>30</v>
      </c>
      <c r="G17" s="70" t="s">
        <v>30</v>
      </c>
      <c r="J17" s="67" t="s">
        <v>32</v>
      </c>
      <c r="K17" s="68" t="s">
        <v>56</v>
      </c>
      <c r="L17" s="68">
        <v>0.32</v>
      </c>
      <c r="M17" s="68">
        <v>0.12</v>
      </c>
      <c r="N17" s="68">
        <f t="shared" si="1"/>
        <v>1.44E-2</v>
      </c>
      <c r="O17" s="69" t="s">
        <v>30</v>
      </c>
      <c r="P17" s="70" t="s">
        <v>30</v>
      </c>
      <c r="S17" s="67" t="s">
        <v>32</v>
      </c>
      <c r="T17" s="68" t="s">
        <v>56</v>
      </c>
      <c r="U17" s="68">
        <v>0.14000000000000001</v>
      </c>
      <c r="V17" s="68">
        <v>0.35</v>
      </c>
      <c r="W17" s="68">
        <f t="shared" si="2"/>
        <v>0.12249999999999998</v>
      </c>
      <c r="X17" s="69" t="s">
        <v>30</v>
      </c>
      <c r="Y17" s="70" t="s">
        <v>30</v>
      </c>
    </row>
    <row r="18" spans="1:25">
      <c r="A18" s="5" t="s">
        <v>32</v>
      </c>
      <c r="B18" s="3" t="s">
        <v>53</v>
      </c>
      <c r="C18" s="3">
        <v>0.13</v>
      </c>
      <c r="D18" s="3">
        <v>0.2</v>
      </c>
      <c r="E18" s="123">
        <f t="shared" si="0"/>
        <v>4.0000000000000008E-2</v>
      </c>
      <c r="F18" s="35" t="s">
        <v>30</v>
      </c>
      <c r="G18" s="52" t="s">
        <v>30</v>
      </c>
      <c r="J18" s="5" t="s">
        <v>32</v>
      </c>
      <c r="K18" s="3" t="s">
        <v>53</v>
      </c>
      <c r="L18" s="3">
        <v>0.25</v>
      </c>
      <c r="M18" s="3">
        <v>0.1</v>
      </c>
      <c r="N18" s="82">
        <f t="shared" si="1"/>
        <v>1.0000000000000002E-2</v>
      </c>
      <c r="O18" s="35" t="s">
        <v>30</v>
      </c>
      <c r="P18" s="52" t="s">
        <v>30</v>
      </c>
      <c r="S18" s="81" t="s">
        <v>32</v>
      </c>
      <c r="T18" s="82" t="s">
        <v>53</v>
      </c>
      <c r="U18" s="82">
        <v>0.1</v>
      </c>
      <c r="V18" s="82">
        <v>0.34</v>
      </c>
      <c r="W18" s="82">
        <f t="shared" si="2"/>
        <v>0.11560000000000002</v>
      </c>
      <c r="X18" s="83" t="s">
        <v>30</v>
      </c>
      <c r="Y18" s="84" t="s">
        <v>30</v>
      </c>
    </row>
    <row r="19" spans="1:25">
      <c r="A19" s="5" t="s">
        <v>32</v>
      </c>
      <c r="B19" s="3" t="s">
        <v>54</v>
      </c>
      <c r="C19" s="3">
        <v>0.13</v>
      </c>
      <c r="D19" s="3">
        <v>0.17</v>
      </c>
      <c r="E19" s="123">
        <f t="shared" si="0"/>
        <v>2.8900000000000006E-2</v>
      </c>
      <c r="F19" s="35" t="s">
        <v>30</v>
      </c>
      <c r="G19" s="52" t="s">
        <v>30</v>
      </c>
      <c r="J19" s="5" t="s">
        <v>32</v>
      </c>
      <c r="K19" s="3" t="s">
        <v>54</v>
      </c>
      <c r="L19" s="3">
        <v>0.25</v>
      </c>
      <c r="M19" s="3">
        <v>0.09</v>
      </c>
      <c r="N19" s="82">
        <f t="shared" si="1"/>
        <v>8.0999999999999996E-3</v>
      </c>
      <c r="O19" s="35" t="s">
        <v>30</v>
      </c>
      <c r="P19" s="52" t="s">
        <v>30</v>
      </c>
      <c r="S19" s="81" t="s">
        <v>32</v>
      </c>
      <c r="T19" s="82" t="s">
        <v>54</v>
      </c>
      <c r="U19" s="82">
        <v>0.1</v>
      </c>
      <c r="V19" s="82">
        <v>0.28999999999999998</v>
      </c>
      <c r="W19" s="82">
        <f t="shared" si="2"/>
        <v>8.4099999999999994E-2</v>
      </c>
      <c r="X19" s="83" t="s">
        <v>30</v>
      </c>
      <c r="Y19" s="84" t="s">
        <v>30</v>
      </c>
    </row>
    <row r="20" spans="1:25">
      <c r="A20" s="5" t="s">
        <v>32</v>
      </c>
      <c r="B20" s="3" t="s">
        <v>55</v>
      </c>
      <c r="C20" s="3">
        <v>0.13</v>
      </c>
      <c r="D20" s="3">
        <v>0.17</v>
      </c>
      <c r="E20" s="123">
        <f t="shared" si="0"/>
        <v>2.8900000000000006E-2</v>
      </c>
      <c r="F20" s="35" t="s">
        <v>30</v>
      </c>
      <c r="G20" s="52" t="s">
        <v>30</v>
      </c>
      <c r="J20" s="5" t="s">
        <v>32</v>
      </c>
      <c r="K20" s="3" t="s">
        <v>55</v>
      </c>
      <c r="L20" s="3">
        <v>0.25</v>
      </c>
      <c r="M20" s="3">
        <v>0.11</v>
      </c>
      <c r="N20" s="82">
        <f t="shared" si="1"/>
        <v>1.21E-2</v>
      </c>
      <c r="O20" s="35" t="s">
        <v>30</v>
      </c>
      <c r="P20" s="52" t="s">
        <v>30</v>
      </c>
      <c r="S20" s="81" t="s">
        <v>32</v>
      </c>
      <c r="T20" s="82" t="s">
        <v>55</v>
      </c>
      <c r="U20" s="82">
        <v>0.1</v>
      </c>
      <c r="V20" s="82">
        <v>0.25</v>
      </c>
      <c r="W20" s="82">
        <f t="shared" si="2"/>
        <v>6.25E-2</v>
      </c>
      <c r="X20" s="83" t="s">
        <v>30</v>
      </c>
      <c r="Y20" s="84" t="s">
        <v>30</v>
      </c>
    </row>
    <row r="21" spans="1:25">
      <c r="A21" s="5" t="s">
        <v>32</v>
      </c>
      <c r="B21" s="3" t="s">
        <v>56</v>
      </c>
      <c r="C21" s="3">
        <v>0.13</v>
      </c>
      <c r="D21" s="3">
        <v>0.19</v>
      </c>
      <c r="E21" s="123">
        <f t="shared" si="0"/>
        <v>3.61E-2</v>
      </c>
      <c r="F21" s="35" t="s">
        <v>30</v>
      </c>
      <c r="G21" s="52" t="s">
        <v>30</v>
      </c>
      <c r="J21" s="5" t="s">
        <v>32</v>
      </c>
      <c r="K21" s="3" t="s">
        <v>56</v>
      </c>
      <c r="L21" s="3">
        <v>0.25</v>
      </c>
      <c r="M21" s="3">
        <v>0.11</v>
      </c>
      <c r="N21" s="82">
        <f t="shared" si="1"/>
        <v>1.21E-2</v>
      </c>
      <c r="O21" s="35" t="s">
        <v>30</v>
      </c>
      <c r="P21" s="52" t="s">
        <v>30</v>
      </c>
      <c r="S21" s="81" t="s">
        <v>32</v>
      </c>
      <c r="T21" s="82" t="s">
        <v>56</v>
      </c>
      <c r="U21" s="82">
        <v>0.1</v>
      </c>
      <c r="V21" s="82">
        <v>0.3</v>
      </c>
      <c r="W21" s="82">
        <f t="shared" si="2"/>
        <v>0.09</v>
      </c>
      <c r="X21" s="83" t="s">
        <v>30</v>
      </c>
      <c r="Y21" s="84" t="s">
        <v>30</v>
      </c>
    </row>
    <row r="22" spans="1:25">
      <c r="A22" s="67" t="s">
        <v>32</v>
      </c>
      <c r="B22" s="68" t="s">
        <v>53</v>
      </c>
      <c r="C22" s="68">
        <v>0.08</v>
      </c>
      <c r="D22" s="68">
        <v>0.21</v>
      </c>
      <c r="E22" s="122">
        <f t="shared" si="0"/>
        <v>4.4099999999999993E-2</v>
      </c>
      <c r="F22" s="69" t="s">
        <v>30</v>
      </c>
      <c r="G22" s="70" t="s">
        <v>30</v>
      </c>
      <c r="J22" s="67" t="s">
        <v>32</v>
      </c>
      <c r="K22" s="68" t="s">
        <v>53</v>
      </c>
      <c r="L22" s="68">
        <v>0.18</v>
      </c>
      <c r="M22" s="68">
        <v>0.11</v>
      </c>
      <c r="N22" s="68">
        <f t="shared" si="1"/>
        <v>1.21E-2</v>
      </c>
      <c r="O22" s="69" t="s">
        <v>30</v>
      </c>
      <c r="P22" s="70" t="s">
        <v>30</v>
      </c>
      <c r="S22" s="67" t="s">
        <v>32</v>
      </c>
      <c r="T22" s="68" t="s">
        <v>53</v>
      </c>
      <c r="U22" s="68">
        <v>7.0000000000000007E-2</v>
      </c>
      <c r="V22" s="68">
        <v>0.33</v>
      </c>
      <c r="W22" s="68">
        <f t="shared" si="2"/>
        <v>0.10890000000000001</v>
      </c>
      <c r="X22" s="69" t="s">
        <v>30</v>
      </c>
      <c r="Y22" s="70" t="s">
        <v>30</v>
      </c>
    </row>
    <row r="23" spans="1:25">
      <c r="A23" s="67" t="s">
        <v>32</v>
      </c>
      <c r="B23" s="68" t="s">
        <v>54</v>
      </c>
      <c r="C23" s="68">
        <v>0.08</v>
      </c>
      <c r="D23" s="68">
        <v>0.18</v>
      </c>
      <c r="E23" s="122">
        <f t="shared" si="0"/>
        <v>3.2399999999999998E-2</v>
      </c>
      <c r="F23" s="69" t="s">
        <v>30</v>
      </c>
      <c r="G23" s="70" t="s">
        <v>30</v>
      </c>
      <c r="J23" s="67" t="s">
        <v>32</v>
      </c>
      <c r="K23" s="68" t="s">
        <v>54</v>
      </c>
      <c r="L23" s="68">
        <v>0.18</v>
      </c>
      <c r="M23" s="68">
        <v>0.09</v>
      </c>
      <c r="N23" s="68">
        <f t="shared" si="1"/>
        <v>8.0999999999999996E-3</v>
      </c>
      <c r="O23" s="69" t="s">
        <v>30</v>
      </c>
      <c r="P23" s="70" t="s">
        <v>30</v>
      </c>
      <c r="S23" s="67" t="s">
        <v>32</v>
      </c>
      <c r="T23" s="68" t="s">
        <v>54</v>
      </c>
      <c r="U23" s="68">
        <v>7.0000000000000007E-2</v>
      </c>
      <c r="V23" s="68">
        <v>0.28000000000000003</v>
      </c>
      <c r="W23" s="68">
        <f t="shared" si="2"/>
        <v>7.8400000000000011E-2</v>
      </c>
      <c r="X23" s="69" t="s">
        <v>30</v>
      </c>
      <c r="Y23" s="70" t="s">
        <v>30</v>
      </c>
    </row>
    <row r="24" spans="1:25">
      <c r="A24" s="67" t="s">
        <v>32</v>
      </c>
      <c r="B24" s="68" t="s">
        <v>55</v>
      </c>
      <c r="C24" s="68">
        <v>0.08</v>
      </c>
      <c r="D24" s="68">
        <v>0.17</v>
      </c>
      <c r="E24" s="122">
        <f t="shared" si="0"/>
        <v>2.8900000000000006E-2</v>
      </c>
      <c r="F24" s="69" t="s">
        <v>30</v>
      </c>
      <c r="G24" s="70" t="s">
        <v>30</v>
      </c>
      <c r="J24" s="67" t="s">
        <v>32</v>
      </c>
      <c r="K24" s="68" t="s">
        <v>55</v>
      </c>
      <c r="L24" s="68">
        <v>0.18</v>
      </c>
      <c r="M24" s="68">
        <v>0.11</v>
      </c>
      <c r="N24" s="68">
        <f t="shared" si="1"/>
        <v>1.21E-2</v>
      </c>
      <c r="O24" s="69" t="s">
        <v>30</v>
      </c>
      <c r="P24" s="70" t="s">
        <v>30</v>
      </c>
      <c r="S24" s="67" t="s">
        <v>32</v>
      </c>
      <c r="T24" s="68" t="s">
        <v>55</v>
      </c>
      <c r="U24" s="68">
        <v>7.0000000000000007E-2</v>
      </c>
      <c r="V24" s="68">
        <v>0.22</v>
      </c>
      <c r="W24" s="68">
        <f t="shared" si="2"/>
        <v>4.8399999999999999E-2</v>
      </c>
      <c r="X24" s="69" t="s">
        <v>30</v>
      </c>
      <c r="Y24" s="70" t="s">
        <v>30</v>
      </c>
    </row>
    <row r="25" spans="1:25">
      <c r="A25" s="67" t="s">
        <v>32</v>
      </c>
      <c r="B25" s="68" t="s">
        <v>56</v>
      </c>
      <c r="C25" s="68">
        <v>0.08</v>
      </c>
      <c r="D25" s="68">
        <v>0.2</v>
      </c>
      <c r="E25" s="122">
        <f t="shared" si="0"/>
        <v>4.0000000000000008E-2</v>
      </c>
      <c r="F25" s="69" t="s">
        <v>30</v>
      </c>
      <c r="G25" s="70" t="s">
        <v>30</v>
      </c>
      <c r="J25" s="67" t="s">
        <v>32</v>
      </c>
      <c r="K25" s="68" t="s">
        <v>56</v>
      </c>
      <c r="L25" s="68">
        <v>0.18</v>
      </c>
      <c r="M25" s="68">
        <v>0.12</v>
      </c>
      <c r="N25" s="68">
        <f t="shared" si="1"/>
        <v>1.44E-2</v>
      </c>
      <c r="O25" s="69" t="s">
        <v>30</v>
      </c>
      <c r="P25" s="70" t="s">
        <v>30</v>
      </c>
      <c r="S25" s="67" t="s">
        <v>32</v>
      </c>
      <c r="T25" s="68" t="s">
        <v>56</v>
      </c>
      <c r="U25" s="68">
        <v>7.0000000000000007E-2</v>
      </c>
      <c r="V25" s="68">
        <v>0.25</v>
      </c>
      <c r="W25" s="68">
        <f t="shared" si="2"/>
        <v>6.25E-2</v>
      </c>
      <c r="X25" s="69" t="s">
        <v>30</v>
      </c>
      <c r="Y25" s="70" t="s">
        <v>30</v>
      </c>
    </row>
    <row r="26" spans="1:25">
      <c r="A26" s="5" t="s">
        <v>32</v>
      </c>
      <c r="B26" s="3" t="s">
        <v>53</v>
      </c>
      <c r="C26" s="3">
        <v>0.04</v>
      </c>
      <c r="D26" s="3">
        <v>0.2</v>
      </c>
      <c r="E26" s="123">
        <f t="shared" si="0"/>
        <v>4.0000000000000008E-2</v>
      </c>
      <c r="F26" s="35" t="s">
        <v>30</v>
      </c>
      <c r="G26" s="52" t="s">
        <v>30</v>
      </c>
      <c r="J26" s="5" t="s">
        <v>32</v>
      </c>
      <c r="K26" s="3" t="s">
        <v>53</v>
      </c>
      <c r="L26" s="3">
        <v>0.11</v>
      </c>
      <c r="M26" s="3">
        <v>0.11</v>
      </c>
      <c r="N26" s="82">
        <f t="shared" si="1"/>
        <v>1.21E-2</v>
      </c>
      <c r="O26" s="35" t="s">
        <v>30</v>
      </c>
      <c r="P26" s="52" t="s">
        <v>30</v>
      </c>
      <c r="S26" s="81" t="s">
        <v>32</v>
      </c>
      <c r="T26" s="82" t="s">
        <v>53</v>
      </c>
      <c r="U26" s="82">
        <v>0.04</v>
      </c>
      <c r="V26" s="82">
        <v>0.31</v>
      </c>
      <c r="W26" s="82">
        <f t="shared" si="2"/>
        <v>9.6100000000000005E-2</v>
      </c>
      <c r="X26" s="83" t="s">
        <v>30</v>
      </c>
      <c r="Y26" s="84" t="s">
        <v>30</v>
      </c>
    </row>
    <row r="27" spans="1:25">
      <c r="A27" s="5" t="s">
        <v>32</v>
      </c>
      <c r="B27" s="3" t="s">
        <v>54</v>
      </c>
      <c r="C27" s="3">
        <v>0.04</v>
      </c>
      <c r="D27" s="3">
        <v>0.19</v>
      </c>
      <c r="E27" s="123">
        <f t="shared" si="0"/>
        <v>3.61E-2</v>
      </c>
      <c r="F27" s="35" t="s">
        <v>30</v>
      </c>
      <c r="G27" s="52" t="s">
        <v>30</v>
      </c>
      <c r="J27" s="5" t="s">
        <v>32</v>
      </c>
      <c r="K27" s="3" t="s">
        <v>54</v>
      </c>
      <c r="L27" s="3">
        <v>0.11</v>
      </c>
      <c r="M27" s="3">
        <v>0.1</v>
      </c>
      <c r="N27" s="82">
        <f t="shared" si="1"/>
        <v>1.0000000000000002E-2</v>
      </c>
      <c r="O27" s="35" t="s">
        <v>30</v>
      </c>
      <c r="P27" s="52" t="s">
        <v>30</v>
      </c>
      <c r="S27" s="81" t="s">
        <v>32</v>
      </c>
      <c r="T27" s="82" t="s">
        <v>54</v>
      </c>
      <c r="U27" s="82">
        <v>0.04</v>
      </c>
      <c r="V27" s="82">
        <v>0.27</v>
      </c>
      <c r="W27" s="82">
        <f t="shared" si="2"/>
        <v>7.2900000000000006E-2</v>
      </c>
      <c r="X27" s="83" t="s">
        <v>30</v>
      </c>
      <c r="Y27" s="84" t="s">
        <v>30</v>
      </c>
    </row>
    <row r="28" spans="1:25">
      <c r="A28" s="5" t="s">
        <v>32</v>
      </c>
      <c r="B28" s="3" t="s">
        <v>55</v>
      </c>
      <c r="C28" s="3">
        <v>0.04</v>
      </c>
      <c r="D28" s="3">
        <v>0.2</v>
      </c>
      <c r="E28" s="123">
        <f t="shared" si="0"/>
        <v>4.0000000000000008E-2</v>
      </c>
      <c r="F28" s="35" t="s">
        <v>30</v>
      </c>
      <c r="G28" s="52" t="s">
        <v>30</v>
      </c>
      <c r="J28" s="5" t="s">
        <v>32</v>
      </c>
      <c r="K28" s="3" t="s">
        <v>55</v>
      </c>
      <c r="L28" s="3">
        <v>0.11</v>
      </c>
      <c r="M28" s="3">
        <v>0.12</v>
      </c>
      <c r="N28" s="82">
        <f t="shared" si="1"/>
        <v>1.44E-2</v>
      </c>
      <c r="O28" s="35" t="s">
        <v>30</v>
      </c>
      <c r="P28" s="52" t="s">
        <v>30</v>
      </c>
      <c r="S28" s="81" t="s">
        <v>32</v>
      </c>
      <c r="T28" s="82" t="s">
        <v>55</v>
      </c>
      <c r="U28" s="82">
        <v>0.04</v>
      </c>
      <c r="V28" s="82">
        <v>0.21</v>
      </c>
      <c r="W28" s="82">
        <f t="shared" si="2"/>
        <v>4.4099999999999993E-2</v>
      </c>
      <c r="X28" s="83" t="s">
        <v>30</v>
      </c>
      <c r="Y28" s="84" t="s">
        <v>30</v>
      </c>
    </row>
    <row r="29" spans="1:25" ht="15.75" thickBot="1">
      <c r="A29" s="55" t="s">
        <v>32</v>
      </c>
      <c r="B29" s="56" t="s">
        <v>56</v>
      </c>
      <c r="C29" s="56">
        <v>0.04</v>
      </c>
      <c r="D29" s="56">
        <v>0.18</v>
      </c>
      <c r="E29" s="124">
        <f t="shared" si="0"/>
        <v>3.2399999999999998E-2</v>
      </c>
      <c r="F29" s="75">
        <f>AVERAGE(D14:D29)</f>
        <v>0.19375000000000003</v>
      </c>
      <c r="G29" s="76">
        <f>F29*B8*0.3048^2</f>
        <v>1.2656224687500004E-2</v>
      </c>
      <c r="J29" s="5" t="s">
        <v>32</v>
      </c>
      <c r="K29" s="3" t="s">
        <v>56</v>
      </c>
      <c r="L29" s="3">
        <v>0.11</v>
      </c>
      <c r="M29" s="3">
        <v>0.14000000000000001</v>
      </c>
      <c r="N29" s="82">
        <f t="shared" si="1"/>
        <v>1.9600000000000003E-2</v>
      </c>
      <c r="O29" s="35" t="s">
        <v>30</v>
      </c>
      <c r="P29" s="52" t="s">
        <v>30</v>
      </c>
      <c r="S29" s="85" t="s">
        <v>32</v>
      </c>
      <c r="T29" s="86" t="s">
        <v>56</v>
      </c>
      <c r="U29" s="86">
        <v>0.04</v>
      </c>
      <c r="V29" s="86">
        <v>0.24</v>
      </c>
      <c r="W29" s="86">
        <f t="shared" si="2"/>
        <v>5.7599999999999998E-2</v>
      </c>
      <c r="X29" s="77">
        <f>AVERAGE(V14:V29)</f>
        <v>0.28312500000000002</v>
      </c>
      <c r="Y29" s="78">
        <f>X29*R8*0.3048^2</f>
        <v>1.3014590906250002E-2</v>
      </c>
    </row>
    <row r="30" spans="1:25">
      <c r="A30" s="71" t="s">
        <v>17</v>
      </c>
      <c r="B30" s="72" t="s">
        <v>53</v>
      </c>
      <c r="C30" s="72">
        <v>0.19</v>
      </c>
      <c r="D30" s="72">
        <v>0.2</v>
      </c>
      <c r="E30" s="125">
        <f t="shared" si="0"/>
        <v>4.0000000000000008E-2</v>
      </c>
      <c r="F30" s="73" t="s">
        <v>30</v>
      </c>
      <c r="G30" s="74" t="s">
        <v>30</v>
      </c>
      <c r="J30" s="67" t="s">
        <v>32</v>
      </c>
      <c r="K30" s="68" t="s">
        <v>53</v>
      </c>
      <c r="L30" s="68">
        <v>0.04</v>
      </c>
      <c r="M30" s="68">
        <v>0.09</v>
      </c>
      <c r="N30" s="68">
        <f t="shared" si="1"/>
        <v>8.0999999999999996E-3</v>
      </c>
      <c r="O30" s="69" t="s">
        <v>30</v>
      </c>
      <c r="P30" s="70" t="s">
        <v>30</v>
      </c>
      <c r="S30" s="71" t="s">
        <v>17</v>
      </c>
      <c r="T30" s="72" t="s">
        <v>53</v>
      </c>
      <c r="U30" s="72">
        <v>0.14000000000000001</v>
      </c>
      <c r="V30" s="72">
        <v>0.28000000000000003</v>
      </c>
      <c r="W30" s="72">
        <f t="shared" si="2"/>
        <v>7.8400000000000011E-2</v>
      </c>
      <c r="X30" s="73" t="s">
        <v>30</v>
      </c>
      <c r="Y30" s="74" t="s">
        <v>30</v>
      </c>
    </row>
    <row r="31" spans="1:25">
      <c r="A31" s="67" t="s">
        <v>17</v>
      </c>
      <c r="B31" s="68" t="s">
        <v>54</v>
      </c>
      <c r="C31" s="68">
        <v>0.19</v>
      </c>
      <c r="D31" s="68">
        <v>0.21</v>
      </c>
      <c r="E31" s="122">
        <f t="shared" si="0"/>
        <v>4.4099999999999993E-2</v>
      </c>
      <c r="F31" s="69" t="s">
        <v>30</v>
      </c>
      <c r="G31" s="70" t="s">
        <v>30</v>
      </c>
      <c r="J31" s="67" t="s">
        <v>32</v>
      </c>
      <c r="K31" s="68" t="s">
        <v>54</v>
      </c>
      <c r="L31" s="68">
        <v>0.04</v>
      </c>
      <c r="M31" s="68">
        <v>0.08</v>
      </c>
      <c r="N31" s="68">
        <f t="shared" si="1"/>
        <v>6.4000000000000003E-3</v>
      </c>
      <c r="O31" s="69" t="s">
        <v>30</v>
      </c>
      <c r="P31" s="70" t="s">
        <v>30</v>
      </c>
      <c r="S31" s="67" t="s">
        <v>17</v>
      </c>
      <c r="T31" s="68" t="s">
        <v>54</v>
      </c>
      <c r="U31" s="68">
        <v>0.14000000000000001</v>
      </c>
      <c r="V31" s="68">
        <v>0.26</v>
      </c>
      <c r="W31" s="68">
        <f t="shared" si="2"/>
        <v>6.7600000000000007E-2</v>
      </c>
      <c r="X31" s="69" t="s">
        <v>30</v>
      </c>
      <c r="Y31" s="70" t="s">
        <v>30</v>
      </c>
    </row>
    <row r="32" spans="1:25">
      <c r="A32" s="67" t="s">
        <v>17</v>
      </c>
      <c r="B32" s="68" t="s">
        <v>55</v>
      </c>
      <c r="C32" s="68">
        <v>0.19</v>
      </c>
      <c r="D32" s="68">
        <v>0.2</v>
      </c>
      <c r="E32" s="122">
        <f t="shared" si="0"/>
        <v>4.0000000000000008E-2</v>
      </c>
      <c r="F32" s="69" t="s">
        <v>30</v>
      </c>
      <c r="G32" s="70" t="s">
        <v>30</v>
      </c>
      <c r="J32" s="67" t="s">
        <v>32</v>
      </c>
      <c r="K32" s="68" t="s">
        <v>55</v>
      </c>
      <c r="L32" s="68">
        <v>0.04</v>
      </c>
      <c r="M32" s="68">
        <v>0.09</v>
      </c>
      <c r="N32" s="68">
        <f t="shared" si="1"/>
        <v>8.0999999999999996E-3</v>
      </c>
      <c r="O32" s="69" t="s">
        <v>30</v>
      </c>
      <c r="P32" s="70" t="s">
        <v>30</v>
      </c>
      <c r="S32" s="67" t="s">
        <v>17</v>
      </c>
      <c r="T32" s="68" t="s">
        <v>55</v>
      </c>
      <c r="U32" s="68">
        <v>0.14000000000000001</v>
      </c>
      <c r="V32" s="68">
        <v>0.32</v>
      </c>
      <c r="W32" s="68">
        <f t="shared" si="2"/>
        <v>0.1024</v>
      </c>
      <c r="X32" s="69" t="s">
        <v>30</v>
      </c>
      <c r="Y32" s="70" t="s">
        <v>30</v>
      </c>
    </row>
    <row r="33" spans="1:25" ht="15.75" thickBot="1">
      <c r="A33" s="67" t="s">
        <v>17</v>
      </c>
      <c r="B33" s="68" t="s">
        <v>56</v>
      </c>
      <c r="C33" s="68">
        <v>0.19</v>
      </c>
      <c r="D33" s="68">
        <v>0.2</v>
      </c>
      <c r="E33" s="122">
        <f t="shared" si="0"/>
        <v>4.0000000000000008E-2</v>
      </c>
      <c r="F33" s="69" t="s">
        <v>30</v>
      </c>
      <c r="G33" s="70" t="s">
        <v>30</v>
      </c>
      <c r="J33" s="79" t="s">
        <v>32</v>
      </c>
      <c r="K33" s="80" t="s">
        <v>56</v>
      </c>
      <c r="L33" s="80">
        <v>0.04</v>
      </c>
      <c r="M33" s="80">
        <v>0.15</v>
      </c>
      <c r="N33" s="80">
        <f t="shared" si="1"/>
        <v>2.2499999999999999E-2</v>
      </c>
      <c r="O33" s="77">
        <f>AVERAGE(M14:M33)</f>
        <v>0.10950000000000001</v>
      </c>
      <c r="P33" s="78">
        <f>O33*$J$8*0.3048^2</f>
        <v>1.1947839007500004E-2</v>
      </c>
      <c r="S33" s="67" t="s">
        <v>17</v>
      </c>
      <c r="T33" s="68" t="s">
        <v>56</v>
      </c>
      <c r="U33" s="68">
        <v>0.14000000000000001</v>
      </c>
      <c r="V33" s="68">
        <v>0.32</v>
      </c>
      <c r="W33" s="68">
        <f t="shared" si="2"/>
        <v>0.1024</v>
      </c>
      <c r="X33" s="69" t="s">
        <v>30</v>
      </c>
      <c r="Y33" s="70" t="s">
        <v>30</v>
      </c>
    </row>
    <row r="34" spans="1:25">
      <c r="A34" s="5" t="s">
        <v>17</v>
      </c>
      <c r="B34" s="3" t="s">
        <v>53</v>
      </c>
      <c r="C34" s="3">
        <v>0.13</v>
      </c>
      <c r="D34" s="3">
        <v>0.2</v>
      </c>
      <c r="E34" s="123">
        <f t="shared" si="0"/>
        <v>4.0000000000000008E-2</v>
      </c>
      <c r="F34" s="35" t="s">
        <v>30</v>
      </c>
      <c r="G34" s="52" t="s">
        <v>30</v>
      </c>
      <c r="J34" s="48" t="s">
        <v>17</v>
      </c>
      <c r="K34" s="49" t="s">
        <v>53</v>
      </c>
      <c r="L34" s="49">
        <v>0.32</v>
      </c>
      <c r="M34" s="49">
        <v>0.12</v>
      </c>
      <c r="N34" s="104">
        <f t="shared" si="1"/>
        <v>1.44E-2</v>
      </c>
      <c r="O34" s="50" t="s">
        <v>30</v>
      </c>
      <c r="P34" s="51" t="s">
        <v>30</v>
      </c>
      <c r="S34" s="81" t="s">
        <v>17</v>
      </c>
      <c r="T34" s="82" t="s">
        <v>53</v>
      </c>
      <c r="U34" s="82">
        <v>0.1</v>
      </c>
      <c r="V34" s="82">
        <v>0.32</v>
      </c>
      <c r="W34" s="82">
        <f t="shared" si="2"/>
        <v>0.1024</v>
      </c>
      <c r="X34" s="83" t="s">
        <v>30</v>
      </c>
      <c r="Y34" s="84" t="s">
        <v>30</v>
      </c>
    </row>
    <row r="35" spans="1:25">
      <c r="A35" s="5" t="s">
        <v>17</v>
      </c>
      <c r="B35" s="3" t="s">
        <v>54</v>
      </c>
      <c r="C35" s="3">
        <v>0.13</v>
      </c>
      <c r="D35" s="3">
        <v>0.17</v>
      </c>
      <c r="E35" s="123">
        <f t="shared" si="0"/>
        <v>2.8900000000000006E-2</v>
      </c>
      <c r="F35" s="35" t="s">
        <v>30</v>
      </c>
      <c r="G35" s="52" t="s">
        <v>30</v>
      </c>
      <c r="J35" s="5" t="s">
        <v>17</v>
      </c>
      <c r="K35" s="3" t="s">
        <v>54</v>
      </c>
      <c r="L35" s="3">
        <v>0.32</v>
      </c>
      <c r="M35" s="3">
        <v>0.11</v>
      </c>
      <c r="N35" s="82">
        <f t="shared" si="1"/>
        <v>1.21E-2</v>
      </c>
      <c r="O35" s="35" t="s">
        <v>30</v>
      </c>
      <c r="P35" s="52" t="s">
        <v>30</v>
      </c>
      <c r="S35" s="81" t="s">
        <v>17</v>
      </c>
      <c r="T35" s="82" t="s">
        <v>54</v>
      </c>
      <c r="U35" s="82">
        <v>0.1</v>
      </c>
      <c r="V35" s="82">
        <v>0.27</v>
      </c>
      <c r="W35" s="82">
        <f t="shared" si="2"/>
        <v>7.2900000000000006E-2</v>
      </c>
      <c r="X35" s="83" t="s">
        <v>30</v>
      </c>
      <c r="Y35" s="84" t="s">
        <v>30</v>
      </c>
    </row>
    <row r="36" spans="1:25">
      <c r="A36" s="5" t="s">
        <v>17</v>
      </c>
      <c r="B36" s="3" t="s">
        <v>55</v>
      </c>
      <c r="C36" s="3">
        <v>0.13</v>
      </c>
      <c r="D36" s="3">
        <v>0.17</v>
      </c>
      <c r="E36" s="123">
        <f t="shared" si="0"/>
        <v>2.8900000000000006E-2</v>
      </c>
      <c r="F36" s="35" t="s">
        <v>30</v>
      </c>
      <c r="G36" s="52" t="s">
        <v>30</v>
      </c>
      <c r="J36" s="5" t="s">
        <v>17</v>
      </c>
      <c r="K36" s="3" t="s">
        <v>55</v>
      </c>
      <c r="L36" s="3">
        <v>0.32</v>
      </c>
      <c r="M36" s="3">
        <v>0.11</v>
      </c>
      <c r="N36" s="82">
        <f t="shared" si="1"/>
        <v>1.21E-2</v>
      </c>
      <c r="O36" s="35" t="s">
        <v>30</v>
      </c>
      <c r="P36" s="52" t="s">
        <v>30</v>
      </c>
      <c r="S36" s="81" t="s">
        <v>17</v>
      </c>
      <c r="T36" s="82" t="s">
        <v>55</v>
      </c>
      <c r="U36" s="82">
        <v>0.1</v>
      </c>
      <c r="V36" s="82">
        <v>0.26</v>
      </c>
      <c r="W36" s="82">
        <f t="shared" si="2"/>
        <v>6.7600000000000007E-2</v>
      </c>
      <c r="X36" s="83" t="s">
        <v>30</v>
      </c>
      <c r="Y36" s="84" t="s">
        <v>30</v>
      </c>
    </row>
    <row r="37" spans="1:25">
      <c r="A37" s="5" t="s">
        <v>17</v>
      </c>
      <c r="B37" s="3" t="s">
        <v>56</v>
      </c>
      <c r="C37" s="3">
        <v>0.13</v>
      </c>
      <c r="D37" s="3">
        <v>0.18</v>
      </c>
      <c r="E37" s="123">
        <f t="shared" si="0"/>
        <v>3.2399999999999998E-2</v>
      </c>
      <c r="F37" s="35" t="s">
        <v>30</v>
      </c>
      <c r="G37" s="52" t="s">
        <v>30</v>
      </c>
      <c r="J37" s="5" t="s">
        <v>17</v>
      </c>
      <c r="K37" s="3" t="s">
        <v>56</v>
      </c>
      <c r="L37" s="3">
        <v>0.32</v>
      </c>
      <c r="M37" s="3">
        <v>0.11</v>
      </c>
      <c r="N37" s="82">
        <f t="shared" si="1"/>
        <v>1.21E-2</v>
      </c>
      <c r="O37" s="35" t="s">
        <v>30</v>
      </c>
      <c r="P37" s="52" t="s">
        <v>30</v>
      </c>
      <c r="S37" s="81" t="s">
        <v>17</v>
      </c>
      <c r="T37" s="82" t="s">
        <v>56</v>
      </c>
      <c r="U37" s="82">
        <v>0.1</v>
      </c>
      <c r="V37" s="82">
        <v>0.27</v>
      </c>
      <c r="W37" s="82">
        <f t="shared" si="2"/>
        <v>7.2900000000000006E-2</v>
      </c>
      <c r="X37" s="83" t="s">
        <v>30</v>
      </c>
      <c r="Y37" s="84" t="s">
        <v>30</v>
      </c>
    </row>
    <row r="38" spans="1:25">
      <c r="A38" s="67" t="s">
        <v>17</v>
      </c>
      <c r="B38" s="68" t="s">
        <v>53</v>
      </c>
      <c r="C38" s="68">
        <v>0.08</v>
      </c>
      <c r="D38" s="68">
        <v>0.2</v>
      </c>
      <c r="E38" s="122">
        <f t="shared" si="0"/>
        <v>4.0000000000000008E-2</v>
      </c>
      <c r="F38" s="69" t="s">
        <v>30</v>
      </c>
      <c r="G38" s="70" t="s">
        <v>30</v>
      </c>
      <c r="J38" s="67" t="s">
        <v>17</v>
      </c>
      <c r="K38" s="68" t="s">
        <v>53</v>
      </c>
      <c r="L38" s="68">
        <v>0.25</v>
      </c>
      <c r="M38" s="68">
        <v>0.11</v>
      </c>
      <c r="N38" s="68">
        <f t="shared" si="1"/>
        <v>1.21E-2</v>
      </c>
      <c r="O38" s="69" t="s">
        <v>30</v>
      </c>
      <c r="P38" s="70" t="s">
        <v>30</v>
      </c>
      <c r="S38" s="67" t="s">
        <v>17</v>
      </c>
      <c r="T38" s="68" t="s">
        <v>53</v>
      </c>
      <c r="U38" s="68">
        <v>7.0000000000000007E-2</v>
      </c>
      <c r="V38" s="68">
        <v>0.31</v>
      </c>
      <c r="W38" s="68">
        <f t="shared" si="2"/>
        <v>9.6100000000000005E-2</v>
      </c>
      <c r="X38" s="69" t="s">
        <v>30</v>
      </c>
      <c r="Y38" s="70" t="s">
        <v>30</v>
      </c>
    </row>
    <row r="39" spans="1:25">
      <c r="A39" s="67" t="s">
        <v>17</v>
      </c>
      <c r="B39" s="68" t="s">
        <v>54</v>
      </c>
      <c r="C39" s="68">
        <v>0.08</v>
      </c>
      <c r="D39" s="68">
        <v>0.2</v>
      </c>
      <c r="E39" s="122">
        <f t="shared" si="0"/>
        <v>4.0000000000000008E-2</v>
      </c>
      <c r="F39" s="69" t="s">
        <v>30</v>
      </c>
      <c r="G39" s="70" t="s">
        <v>30</v>
      </c>
      <c r="J39" s="67" t="s">
        <v>17</v>
      </c>
      <c r="K39" s="68" t="s">
        <v>54</v>
      </c>
      <c r="L39" s="68">
        <v>0.25</v>
      </c>
      <c r="M39" s="68">
        <v>0.1</v>
      </c>
      <c r="N39" s="68">
        <f t="shared" si="1"/>
        <v>1.0000000000000002E-2</v>
      </c>
      <c r="O39" s="69" t="s">
        <v>30</v>
      </c>
      <c r="P39" s="70" t="s">
        <v>30</v>
      </c>
      <c r="S39" s="67" t="s">
        <v>17</v>
      </c>
      <c r="T39" s="68" t="s">
        <v>54</v>
      </c>
      <c r="U39" s="68">
        <v>7.0000000000000007E-2</v>
      </c>
      <c r="V39" s="68">
        <v>0.28999999999999998</v>
      </c>
      <c r="W39" s="68">
        <f t="shared" si="2"/>
        <v>8.4099999999999994E-2</v>
      </c>
      <c r="X39" s="69" t="s">
        <v>30</v>
      </c>
      <c r="Y39" s="70" t="s">
        <v>30</v>
      </c>
    </row>
    <row r="40" spans="1:25">
      <c r="A40" s="67" t="s">
        <v>17</v>
      </c>
      <c r="B40" s="68" t="s">
        <v>55</v>
      </c>
      <c r="C40" s="68">
        <v>0.08</v>
      </c>
      <c r="D40" s="68">
        <v>0.16</v>
      </c>
      <c r="E40" s="122">
        <f t="shared" si="0"/>
        <v>2.5600000000000001E-2</v>
      </c>
      <c r="F40" s="69" t="s">
        <v>30</v>
      </c>
      <c r="G40" s="70" t="s">
        <v>30</v>
      </c>
      <c r="J40" s="67" t="s">
        <v>17</v>
      </c>
      <c r="K40" s="68" t="s">
        <v>55</v>
      </c>
      <c r="L40" s="68">
        <v>0.25</v>
      </c>
      <c r="M40" s="68">
        <v>0.11</v>
      </c>
      <c r="N40" s="68">
        <f t="shared" si="1"/>
        <v>1.21E-2</v>
      </c>
      <c r="O40" s="69" t="s">
        <v>30</v>
      </c>
      <c r="P40" s="70" t="s">
        <v>30</v>
      </c>
      <c r="S40" s="67" t="s">
        <v>17</v>
      </c>
      <c r="T40" s="68" t="s">
        <v>55</v>
      </c>
      <c r="U40" s="68">
        <v>7.0000000000000007E-2</v>
      </c>
      <c r="V40" s="68">
        <v>0.22</v>
      </c>
      <c r="W40" s="68">
        <f t="shared" si="2"/>
        <v>4.8399999999999999E-2</v>
      </c>
      <c r="X40" s="69" t="s">
        <v>30</v>
      </c>
      <c r="Y40" s="70" t="s">
        <v>30</v>
      </c>
    </row>
    <row r="41" spans="1:25">
      <c r="A41" s="67" t="s">
        <v>17</v>
      </c>
      <c r="B41" s="68" t="s">
        <v>56</v>
      </c>
      <c r="C41" s="68">
        <v>0.08</v>
      </c>
      <c r="D41" s="68">
        <v>0.18</v>
      </c>
      <c r="E41" s="122">
        <f t="shared" si="0"/>
        <v>3.2399999999999998E-2</v>
      </c>
      <c r="F41" s="69" t="s">
        <v>30</v>
      </c>
      <c r="G41" s="70" t="s">
        <v>30</v>
      </c>
      <c r="J41" s="67" t="s">
        <v>17</v>
      </c>
      <c r="K41" s="68" t="s">
        <v>56</v>
      </c>
      <c r="L41" s="68">
        <v>0.25</v>
      </c>
      <c r="M41" s="68">
        <v>0.12</v>
      </c>
      <c r="N41" s="68">
        <f t="shared" si="1"/>
        <v>1.44E-2</v>
      </c>
      <c r="O41" s="69" t="s">
        <v>30</v>
      </c>
      <c r="P41" s="70" t="s">
        <v>30</v>
      </c>
      <c r="S41" s="67" t="s">
        <v>17</v>
      </c>
      <c r="T41" s="68" t="s">
        <v>56</v>
      </c>
      <c r="U41" s="68">
        <v>7.0000000000000007E-2</v>
      </c>
      <c r="V41" s="68">
        <v>0.24</v>
      </c>
      <c r="W41" s="68">
        <f t="shared" si="2"/>
        <v>5.7599999999999998E-2</v>
      </c>
      <c r="X41" s="69" t="s">
        <v>30</v>
      </c>
      <c r="Y41" s="70" t="s">
        <v>30</v>
      </c>
    </row>
    <row r="42" spans="1:25">
      <c r="A42" s="5" t="s">
        <v>17</v>
      </c>
      <c r="B42" s="3" t="s">
        <v>53</v>
      </c>
      <c r="C42" s="3">
        <v>0.04</v>
      </c>
      <c r="D42" s="3">
        <v>0.2</v>
      </c>
      <c r="E42" s="123">
        <f t="shared" si="0"/>
        <v>4.0000000000000008E-2</v>
      </c>
      <c r="F42" s="35" t="s">
        <v>30</v>
      </c>
      <c r="G42" s="52" t="s">
        <v>30</v>
      </c>
      <c r="J42" s="5" t="s">
        <v>17</v>
      </c>
      <c r="K42" s="3" t="s">
        <v>53</v>
      </c>
      <c r="L42" s="3">
        <v>0.18</v>
      </c>
      <c r="M42" s="3">
        <v>0.11</v>
      </c>
      <c r="N42" s="82">
        <f t="shared" si="1"/>
        <v>1.21E-2</v>
      </c>
      <c r="O42" s="35" t="s">
        <v>30</v>
      </c>
      <c r="P42" s="52" t="s">
        <v>30</v>
      </c>
      <c r="S42" s="81" t="s">
        <v>17</v>
      </c>
      <c r="T42" s="82" t="s">
        <v>53</v>
      </c>
      <c r="U42" s="82">
        <v>0.04</v>
      </c>
      <c r="V42" s="82">
        <v>0.28000000000000003</v>
      </c>
      <c r="W42" s="82">
        <f t="shared" si="2"/>
        <v>7.8400000000000011E-2</v>
      </c>
      <c r="X42" s="83" t="s">
        <v>30</v>
      </c>
      <c r="Y42" s="84" t="s">
        <v>30</v>
      </c>
    </row>
    <row r="43" spans="1:25">
      <c r="A43" s="5" t="s">
        <v>17</v>
      </c>
      <c r="B43" s="3" t="s">
        <v>54</v>
      </c>
      <c r="C43" s="3">
        <v>0.04</v>
      </c>
      <c r="D43" s="3">
        <v>0.18</v>
      </c>
      <c r="E43" s="123">
        <f t="shared" si="0"/>
        <v>3.2399999999999998E-2</v>
      </c>
      <c r="F43" s="35" t="s">
        <v>30</v>
      </c>
      <c r="G43" s="52" t="s">
        <v>30</v>
      </c>
      <c r="J43" s="5" t="s">
        <v>17</v>
      </c>
      <c r="K43" s="3" t="s">
        <v>54</v>
      </c>
      <c r="L43" s="3">
        <v>0.18</v>
      </c>
      <c r="M43" s="3">
        <v>0.1</v>
      </c>
      <c r="N43" s="82">
        <f t="shared" si="1"/>
        <v>1.0000000000000002E-2</v>
      </c>
      <c r="O43" s="35" t="s">
        <v>30</v>
      </c>
      <c r="P43" s="52" t="s">
        <v>30</v>
      </c>
      <c r="S43" s="81" t="s">
        <v>17</v>
      </c>
      <c r="T43" s="82" t="s">
        <v>54</v>
      </c>
      <c r="U43" s="82">
        <v>0.04</v>
      </c>
      <c r="V43" s="82">
        <v>0.28999999999999998</v>
      </c>
      <c r="W43" s="82">
        <f t="shared" si="2"/>
        <v>8.4099999999999994E-2</v>
      </c>
      <c r="X43" s="83" t="s">
        <v>30</v>
      </c>
      <c r="Y43" s="84" t="s">
        <v>30</v>
      </c>
    </row>
    <row r="44" spans="1:25">
      <c r="A44" s="5" t="s">
        <v>17</v>
      </c>
      <c r="B44" s="3" t="s">
        <v>55</v>
      </c>
      <c r="C44" s="3">
        <v>0.04</v>
      </c>
      <c r="D44" s="3">
        <v>0.19</v>
      </c>
      <c r="E44" s="123">
        <f t="shared" si="0"/>
        <v>3.61E-2</v>
      </c>
      <c r="F44" s="35" t="s">
        <v>30</v>
      </c>
      <c r="G44" s="52" t="s">
        <v>30</v>
      </c>
      <c r="J44" s="5" t="s">
        <v>17</v>
      </c>
      <c r="K44" s="3" t="s">
        <v>55</v>
      </c>
      <c r="L44" s="3">
        <v>0.18</v>
      </c>
      <c r="M44" s="3">
        <v>0.11</v>
      </c>
      <c r="N44" s="82">
        <f t="shared" si="1"/>
        <v>1.21E-2</v>
      </c>
      <c r="O44" s="35" t="s">
        <v>30</v>
      </c>
      <c r="P44" s="52" t="s">
        <v>30</v>
      </c>
      <c r="S44" s="81" t="s">
        <v>17</v>
      </c>
      <c r="T44" s="82" t="s">
        <v>55</v>
      </c>
      <c r="U44" s="82">
        <v>0.04</v>
      </c>
      <c r="V44" s="82">
        <v>0.24</v>
      </c>
      <c r="W44" s="82">
        <f t="shared" si="2"/>
        <v>5.7599999999999998E-2</v>
      </c>
      <c r="X44" s="83" t="s">
        <v>30</v>
      </c>
      <c r="Y44" s="84" t="s">
        <v>30</v>
      </c>
    </row>
    <row r="45" spans="1:25" ht="15.75" thickBot="1">
      <c r="A45" s="6" t="s">
        <v>17</v>
      </c>
      <c r="B45" s="7" t="s">
        <v>56</v>
      </c>
      <c r="C45" s="7">
        <v>0.04</v>
      </c>
      <c r="D45" s="7">
        <v>0.2</v>
      </c>
      <c r="E45" s="126">
        <f t="shared" si="0"/>
        <v>4.0000000000000008E-2</v>
      </c>
      <c r="F45" s="77">
        <f>AVERAGE(D30:D45)</f>
        <v>0.19000000000000003</v>
      </c>
      <c r="G45" s="78">
        <f>F45*$B$8*0.3048^2</f>
        <v>1.2411265500000003E-2</v>
      </c>
      <c r="J45" s="5" t="s">
        <v>17</v>
      </c>
      <c r="K45" s="3" t="s">
        <v>56</v>
      </c>
      <c r="L45" s="3">
        <v>0.18</v>
      </c>
      <c r="M45" s="3">
        <v>0.12</v>
      </c>
      <c r="N45" s="82">
        <f t="shared" si="1"/>
        <v>1.44E-2</v>
      </c>
      <c r="O45" s="35" t="s">
        <v>30</v>
      </c>
      <c r="P45" s="52" t="s">
        <v>30</v>
      </c>
      <c r="S45" s="85" t="s">
        <v>17</v>
      </c>
      <c r="T45" s="86" t="s">
        <v>56</v>
      </c>
      <c r="U45" s="86">
        <v>0.04</v>
      </c>
      <c r="V45" s="86">
        <v>0.24</v>
      </c>
      <c r="W45" s="86">
        <f t="shared" si="2"/>
        <v>5.7599999999999998E-2</v>
      </c>
      <c r="X45" s="77">
        <f>AVERAGE(V30:V45)</f>
        <v>0.27562500000000006</v>
      </c>
      <c r="Y45" s="78">
        <f>X45*$R$8*0.3048^2</f>
        <v>1.2669833531250004E-2</v>
      </c>
    </row>
    <row r="46" spans="1:25">
      <c r="A46" s="71" t="s">
        <v>52</v>
      </c>
      <c r="B46" s="72" t="s">
        <v>53</v>
      </c>
      <c r="C46" s="72">
        <v>0.19</v>
      </c>
      <c r="D46" s="72">
        <v>0.21</v>
      </c>
      <c r="E46" s="125">
        <f t="shared" si="0"/>
        <v>4.4099999999999993E-2</v>
      </c>
      <c r="F46" s="73" t="s">
        <v>30</v>
      </c>
      <c r="G46" s="74" t="s">
        <v>30</v>
      </c>
      <c r="J46" s="67" t="s">
        <v>17</v>
      </c>
      <c r="K46" s="68" t="s">
        <v>53</v>
      </c>
      <c r="L46" s="68">
        <v>0.11</v>
      </c>
      <c r="M46" s="68">
        <v>0.1</v>
      </c>
      <c r="N46" s="68">
        <f t="shared" si="1"/>
        <v>1.0000000000000002E-2</v>
      </c>
      <c r="O46" s="69" t="s">
        <v>30</v>
      </c>
      <c r="P46" s="70" t="s">
        <v>30</v>
      </c>
      <c r="S46" s="71" t="s">
        <v>52</v>
      </c>
      <c r="T46" s="72" t="s">
        <v>53</v>
      </c>
      <c r="U46" s="72">
        <v>0.14000000000000001</v>
      </c>
      <c r="V46" s="72">
        <v>0.28999999999999998</v>
      </c>
      <c r="W46" s="72">
        <f t="shared" si="2"/>
        <v>8.4099999999999994E-2</v>
      </c>
      <c r="X46" s="73" t="s">
        <v>30</v>
      </c>
      <c r="Y46" s="74" t="s">
        <v>30</v>
      </c>
    </row>
    <row r="47" spans="1:25">
      <c r="A47" s="67" t="s">
        <v>52</v>
      </c>
      <c r="B47" s="68" t="s">
        <v>54</v>
      </c>
      <c r="C47" s="68">
        <v>0.19</v>
      </c>
      <c r="D47" s="68">
        <v>0.19</v>
      </c>
      <c r="E47" s="122">
        <f t="shared" si="0"/>
        <v>3.61E-2</v>
      </c>
      <c r="F47" s="69" t="s">
        <v>30</v>
      </c>
      <c r="G47" s="70" t="s">
        <v>30</v>
      </c>
      <c r="J47" s="67" t="s">
        <v>17</v>
      </c>
      <c r="K47" s="68" t="s">
        <v>54</v>
      </c>
      <c r="L47" s="68">
        <v>0.11</v>
      </c>
      <c r="M47" s="68">
        <v>0.1</v>
      </c>
      <c r="N47" s="68">
        <f t="shared" si="1"/>
        <v>1.0000000000000002E-2</v>
      </c>
      <c r="O47" s="69" t="s">
        <v>30</v>
      </c>
      <c r="P47" s="70" t="s">
        <v>30</v>
      </c>
      <c r="S47" s="67" t="s">
        <v>52</v>
      </c>
      <c r="T47" s="68" t="s">
        <v>54</v>
      </c>
      <c r="U47" s="68">
        <v>0.14000000000000001</v>
      </c>
      <c r="V47" s="68">
        <v>0.28999999999999998</v>
      </c>
      <c r="W47" s="68">
        <f t="shared" si="2"/>
        <v>8.4099999999999994E-2</v>
      </c>
      <c r="X47" s="69" t="s">
        <v>30</v>
      </c>
      <c r="Y47" s="70" t="s">
        <v>30</v>
      </c>
    </row>
    <row r="48" spans="1:25">
      <c r="A48" s="67" t="s">
        <v>52</v>
      </c>
      <c r="B48" s="68" t="s">
        <v>55</v>
      </c>
      <c r="C48" s="68">
        <v>0.19</v>
      </c>
      <c r="D48" s="68">
        <v>0.2</v>
      </c>
      <c r="E48" s="122">
        <f t="shared" si="0"/>
        <v>4.0000000000000008E-2</v>
      </c>
      <c r="F48" s="69" t="s">
        <v>30</v>
      </c>
      <c r="G48" s="70" t="s">
        <v>30</v>
      </c>
      <c r="J48" s="67" t="s">
        <v>17</v>
      </c>
      <c r="K48" s="68" t="s">
        <v>55</v>
      </c>
      <c r="L48" s="68">
        <v>0.11</v>
      </c>
      <c r="M48" s="68">
        <v>0.1</v>
      </c>
      <c r="N48" s="68">
        <f t="shared" si="1"/>
        <v>1.0000000000000002E-2</v>
      </c>
      <c r="O48" s="69" t="s">
        <v>30</v>
      </c>
      <c r="P48" s="70" t="s">
        <v>30</v>
      </c>
      <c r="S48" s="67" t="s">
        <v>52</v>
      </c>
      <c r="T48" s="68" t="s">
        <v>55</v>
      </c>
      <c r="U48" s="68">
        <v>0.14000000000000001</v>
      </c>
      <c r="V48" s="68">
        <v>0.28999999999999998</v>
      </c>
      <c r="W48" s="68">
        <f t="shared" si="2"/>
        <v>8.4099999999999994E-2</v>
      </c>
      <c r="X48" s="69" t="s">
        <v>30</v>
      </c>
      <c r="Y48" s="70" t="s">
        <v>30</v>
      </c>
    </row>
    <row r="49" spans="1:25">
      <c r="A49" s="67" t="s">
        <v>52</v>
      </c>
      <c r="B49" s="68" t="s">
        <v>56</v>
      </c>
      <c r="C49" s="68">
        <v>0.19</v>
      </c>
      <c r="D49" s="68">
        <v>0.2</v>
      </c>
      <c r="E49" s="122">
        <f t="shared" si="0"/>
        <v>4.0000000000000008E-2</v>
      </c>
      <c r="F49" s="69" t="s">
        <v>30</v>
      </c>
      <c r="G49" s="70" t="s">
        <v>30</v>
      </c>
      <c r="J49" s="67" t="s">
        <v>17</v>
      </c>
      <c r="K49" s="68" t="s">
        <v>56</v>
      </c>
      <c r="L49" s="68">
        <v>0.11</v>
      </c>
      <c r="M49" s="68">
        <v>0.13</v>
      </c>
      <c r="N49" s="68">
        <f t="shared" si="1"/>
        <v>1.6900000000000002E-2</v>
      </c>
      <c r="O49" s="69" t="s">
        <v>30</v>
      </c>
      <c r="P49" s="70" t="s">
        <v>30</v>
      </c>
      <c r="S49" s="67" t="s">
        <v>52</v>
      </c>
      <c r="T49" s="68" t="s">
        <v>56</v>
      </c>
      <c r="U49" s="68">
        <v>0.14000000000000001</v>
      </c>
      <c r="V49" s="68">
        <v>0.31</v>
      </c>
      <c r="W49" s="68">
        <f t="shared" si="2"/>
        <v>9.6100000000000005E-2</v>
      </c>
      <c r="X49" s="69" t="s">
        <v>30</v>
      </c>
      <c r="Y49" s="70" t="s">
        <v>30</v>
      </c>
    </row>
    <row r="50" spans="1:25">
      <c r="A50" s="5" t="s">
        <v>52</v>
      </c>
      <c r="B50" s="3" t="s">
        <v>53</v>
      </c>
      <c r="C50" s="3">
        <v>0.13</v>
      </c>
      <c r="D50" s="3">
        <v>0.22</v>
      </c>
      <c r="E50" s="123">
        <f t="shared" si="0"/>
        <v>4.8399999999999999E-2</v>
      </c>
      <c r="F50" s="35" t="s">
        <v>30</v>
      </c>
      <c r="G50" s="52" t="s">
        <v>30</v>
      </c>
      <c r="J50" s="5" t="s">
        <v>17</v>
      </c>
      <c r="K50" s="3" t="s">
        <v>53</v>
      </c>
      <c r="L50" s="3">
        <v>0.04</v>
      </c>
      <c r="M50" s="3">
        <v>0.11</v>
      </c>
      <c r="N50" s="82">
        <f t="shared" si="1"/>
        <v>1.21E-2</v>
      </c>
      <c r="O50" s="35" t="s">
        <v>30</v>
      </c>
      <c r="P50" s="52" t="s">
        <v>30</v>
      </c>
      <c r="S50" s="81" t="s">
        <v>52</v>
      </c>
      <c r="T50" s="82" t="s">
        <v>53</v>
      </c>
      <c r="U50" s="82">
        <v>0.1</v>
      </c>
      <c r="V50" s="82">
        <v>0.33</v>
      </c>
      <c r="W50" s="82">
        <f t="shared" si="2"/>
        <v>0.10890000000000001</v>
      </c>
      <c r="X50" s="83" t="s">
        <v>30</v>
      </c>
      <c r="Y50" s="84" t="s">
        <v>30</v>
      </c>
    </row>
    <row r="51" spans="1:25">
      <c r="A51" s="5" t="s">
        <v>52</v>
      </c>
      <c r="B51" s="3" t="s">
        <v>54</v>
      </c>
      <c r="C51" s="3">
        <v>0.13</v>
      </c>
      <c r="D51" s="3">
        <v>0.16</v>
      </c>
      <c r="E51" s="123">
        <f t="shared" si="0"/>
        <v>2.5600000000000001E-2</v>
      </c>
      <c r="F51" s="35" t="s">
        <v>30</v>
      </c>
      <c r="G51" s="52" t="s">
        <v>30</v>
      </c>
      <c r="J51" s="5" t="s">
        <v>17</v>
      </c>
      <c r="K51" s="3" t="s">
        <v>54</v>
      </c>
      <c r="L51" s="3">
        <v>0.04</v>
      </c>
      <c r="M51" s="3">
        <v>0.1</v>
      </c>
      <c r="N51" s="82">
        <f t="shared" si="1"/>
        <v>1.0000000000000002E-2</v>
      </c>
      <c r="O51" s="35" t="s">
        <v>30</v>
      </c>
      <c r="P51" s="52" t="s">
        <v>30</v>
      </c>
      <c r="S51" s="81" t="s">
        <v>52</v>
      </c>
      <c r="T51" s="82" t="s">
        <v>54</v>
      </c>
      <c r="U51" s="82">
        <v>0.1</v>
      </c>
      <c r="V51" s="82">
        <v>0.28000000000000003</v>
      </c>
      <c r="W51" s="82">
        <f t="shared" si="2"/>
        <v>7.8400000000000011E-2</v>
      </c>
      <c r="X51" s="83" t="s">
        <v>30</v>
      </c>
      <c r="Y51" s="84" t="s">
        <v>30</v>
      </c>
    </row>
    <row r="52" spans="1:25">
      <c r="A52" s="5" t="s">
        <v>52</v>
      </c>
      <c r="B52" s="3" t="s">
        <v>55</v>
      </c>
      <c r="C52" s="3">
        <v>0.13</v>
      </c>
      <c r="D52" s="3">
        <v>0.14000000000000001</v>
      </c>
      <c r="E52" s="123">
        <f t="shared" si="0"/>
        <v>1.9600000000000003E-2</v>
      </c>
      <c r="F52" s="35" t="s">
        <v>30</v>
      </c>
      <c r="G52" s="52" t="s">
        <v>30</v>
      </c>
      <c r="J52" s="5" t="s">
        <v>17</v>
      </c>
      <c r="K52" s="3" t="s">
        <v>55</v>
      </c>
      <c r="L52" s="3">
        <v>0.04</v>
      </c>
      <c r="M52" s="3">
        <v>0.11</v>
      </c>
      <c r="N52" s="82">
        <f t="shared" si="1"/>
        <v>1.21E-2</v>
      </c>
      <c r="O52" s="35" t="s">
        <v>30</v>
      </c>
      <c r="P52" s="52" t="s">
        <v>30</v>
      </c>
      <c r="S52" s="81" t="s">
        <v>52</v>
      </c>
      <c r="T52" s="82" t="s">
        <v>55</v>
      </c>
      <c r="U52" s="82">
        <v>0.1</v>
      </c>
      <c r="V52" s="82">
        <v>0.25</v>
      </c>
      <c r="W52" s="82">
        <f t="shared" si="2"/>
        <v>6.25E-2</v>
      </c>
      <c r="X52" s="83" t="s">
        <v>30</v>
      </c>
      <c r="Y52" s="84" t="s">
        <v>30</v>
      </c>
    </row>
    <row r="53" spans="1:25" ht="15.75" thickBot="1">
      <c r="A53" s="5" t="s">
        <v>52</v>
      </c>
      <c r="B53" s="3" t="s">
        <v>56</v>
      </c>
      <c r="C53" s="3">
        <v>0.13</v>
      </c>
      <c r="D53" s="3">
        <v>0.16</v>
      </c>
      <c r="E53" s="123">
        <f t="shared" si="0"/>
        <v>2.5600000000000001E-2</v>
      </c>
      <c r="F53" s="35" t="s">
        <v>30</v>
      </c>
      <c r="G53" s="52" t="s">
        <v>30</v>
      </c>
      <c r="J53" s="6" t="s">
        <v>17</v>
      </c>
      <c r="K53" s="7" t="s">
        <v>56</v>
      </c>
      <c r="L53" s="7">
        <v>0.04</v>
      </c>
      <c r="M53" s="7">
        <v>0.12</v>
      </c>
      <c r="N53" s="86">
        <f t="shared" si="1"/>
        <v>1.44E-2</v>
      </c>
      <c r="O53" s="77">
        <f>AVERAGE(M34:M53)</f>
        <v>0.11000000000000003</v>
      </c>
      <c r="P53" s="78">
        <f>O53*$J$8*0.3048^2</f>
        <v>1.2002395350000005E-2</v>
      </c>
      <c r="S53" s="81" t="s">
        <v>52</v>
      </c>
      <c r="T53" s="82" t="s">
        <v>56</v>
      </c>
      <c r="U53" s="82">
        <v>0.1</v>
      </c>
      <c r="V53" s="82">
        <v>0.27</v>
      </c>
      <c r="W53" s="82">
        <f t="shared" si="2"/>
        <v>7.2900000000000006E-2</v>
      </c>
      <c r="X53" s="83" t="s">
        <v>30</v>
      </c>
      <c r="Y53" s="84" t="s">
        <v>30</v>
      </c>
    </row>
    <row r="54" spans="1:25">
      <c r="A54" s="67" t="s">
        <v>52</v>
      </c>
      <c r="B54" s="68" t="s">
        <v>53</v>
      </c>
      <c r="C54" s="68">
        <v>0.08</v>
      </c>
      <c r="D54" s="68">
        <v>0.2</v>
      </c>
      <c r="E54" s="122">
        <f t="shared" si="0"/>
        <v>4.0000000000000008E-2</v>
      </c>
      <c r="F54" s="69" t="s">
        <v>30</v>
      </c>
      <c r="G54" s="70" t="s">
        <v>30</v>
      </c>
      <c r="J54" s="71" t="s">
        <v>52</v>
      </c>
      <c r="K54" s="72" t="s">
        <v>53</v>
      </c>
      <c r="L54" s="72">
        <v>0.32</v>
      </c>
      <c r="M54" s="72">
        <v>0.11</v>
      </c>
      <c r="N54" s="72">
        <f t="shared" si="1"/>
        <v>1.21E-2</v>
      </c>
      <c r="O54" s="73" t="s">
        <v>30</v>
      </c>
      <c r="P54" s="74" t="s">
        <v>30</v>
      </c>
      <c r="S54" s="67" t="s">
        <v>52</v>
      </c>
      <c r="T54" s="68" t="s">
        <v>53</v>
      </c>
      <c r="U54" s="68">
        <v>7.0000000000000007E-2</v>
      </c>
      <c r="V54" s="68">
        <v>0.32</v>
      </c>
      <c r="W54" s="68">
        <f t="shared" si="2"/>
        <v>0.1024</v>
      </c>
      <c r="X54" s="69" t="s">
        <v>30</v>
      </c>
      <c r="Y54" s="70" t="s">
        <v>30</v>
      </c>
    </row>
    <row r="55" spans="1:25">
      <c r="A55" s="67" t="s">
        <v>52</v>
      </c>
      <c r="B55" s="68" t="s">
        <v>54</v>
      </c>
      <c r="C55" s="68">
        <v>0.08</v>
      </c>
      <c r="D55" s="68">
        <v>0.18</v>
      </c>
      <c r="E55" s="122">
        <f t="shared" si="0"/>
        <v>3.2399999999999998E-2</v>
      </c>
      <c r="F55" s="69" t="s">
        <v>30</v>
      </c>
      <c r="G55" s="70" t="s">
        <v>30</v>
      </c>
      <c r="J55" s="67" t="s">
        <v>52</v>
      </c>
      <c r="K55" s="68" t="s">
        <v>54</v>
      </c>
      <c r="L55" s="68">
        <v>0.32</v>
      </c>
      <c r="M55" s="68">
        <v>0.1</v>
      </c>
      <c r="N55" s="68">
        <f t="shared" si="1"/>
        <v>1.0000000000000002E-2</v>
      </c>
      <c r="O55" s="69" t="s">
        <v>30</v>
      </c>
      <c r="P55" s="70" t="s">
        <v>30</v>
      </c>
      <c r="S55" s="67" t="s">
        <v>52</v>
      </c>
      <c r="T55" s="68" t="s">
        <v>54</v>
      </c>
      <c r="U55" s="68">
        <v>7.0000000000000007E-2</v>
      </c>
      <c r="V55" s="68">
        <v>0.27</v>
      </c>
      <c r="W55" s="68">
        <f t="shared" si="2"/>
        <v>7.2900000000000006E-2</v>
      </c>
      <c r="X55" s="69" t="s">
        <v>30</v>
      </c>
      <c r="Y55" s="70" t="s">
        <v>30</v>
      </c>
    </row>
    <row r="56" spans="1:25">
      <c r="A56" s="67" t="s">
        <v>52</v>
      </c>
      <c r="B56" s="68" t="s">
        <v>55</v>
      </c>
      <c r="C56" s="68">
        <v>0.08</v>
      </c>
      <c r="D56" s="68">
        <v>0.16</v>
      </c>
      <c r="E56" s="122">
        <f t="shared" si="0"/>
        <v>2.5600000000000001E-2</v>
      </c>
      <c r="F56" s="69" t="s">
        <v>30</v>
      </c>
      <c r="G56" s="70" t="s">
        <v>30</v>
      </c>
      <c r="J56" s="67" t="s">
        <v>52</v>
      </c>
      <c r="K56" s="68" t="s">
        <v>55</v>
      </c>
      <c r="L56" s="68">
        <v>0.32</v>
      </c>
      <c r="M56" s="68">
        <v>0.11</v>
      </c>
      <c r="N56" s="68">
        <f t="shared" si="1"/>
        <v>1.21E-2</v>
      </c>
      <c r="O56" s="69" t="s">
        <v>30</v>
      </c>
      <c r="P56" s="70" t="s">
        <v>30</v>
      </c>
      <c r="S56" s="67" t="s">
        <v>52</v>
      </c>
      <c r="T56" s="68" t="s">
        <v>55</v>
      </c>
      <c r="U56" s="68">
        <v>7.0000000000000007E-2</v>
      </c>
      <c r="V56" s="68">
        <v>0.21</v>
      </c>
      <c r="W56" s="68">
        <f t="shared" si="2"/>
        <v>4.4099999999999993E-2</v>
      </c>
      <c r="X56" s="69" t="s">
        <v>30</v>
      </c>
      <c r="Y56" s="70" t="s">
        <v>30</v>
      </c>
    </row>
    <row r="57" spans="1:25">
      <c r="A57" s="67" t="s">
        <v>52</v>
      </c>
      <c r="B57" s="68" t="s">
        <v>56</v>
      </c>
      <c r="C57" s="68">
        <v>0.08</v>
      </c>
      <c r="D57" s="68">
        <v>0.15</v>
      </c>
      <c r="E57" s="122">
        <f t="shared" si="0"/>
        <v>2.2499999999999999E-2</v>
      </c>
      <c r="F57" s="69" t="s">
        <v>30</v>
      </c>
      <c r="G57" s="70" t="s">
        <v>30</v>
      </c>
      <c r="J57" s="67" t="s">
        <v>52</v>
      </c>
      <c r="K57" s="68" t="s">
        <v>56</v>
      </c>
      <c r="L57" s="68">
        <v>0.32</v>
      </c>
      <c r="M57" s="68">
        <v>0.12</v>
      </c>
      <c r="N57" s="68">
        <f t="shared" si="1"/>
        <v>1.44E-2</v>
      </c>
      <c r="O57" s="69" t="s">
        <v>30</v>
      </c>
      <c r="P57" s="70" t="s">
        <v>30</v>
      </c>
      <c r="S57" s="67" t="s">
        <v>52</v>
      </c>
      <c r="T57" s="68" t="s">
        <v>56</v>
      </c>
      <c r="U57" s="68">
        <v>7.0000000000000007E-2</v>
      </c>
      <c r="V57" s="68">
        <v>0.24</v>
      </c>
      <c r="W57" s="68">
        <f t="shared" si="2"/>
        <v>5.7599999999999998E-2</v>
      </c>
      <c r="X57" s="69" t="s">
        <v>30</v>
      </c>
      <c r="Y57" s="70" t="s">
        <v>30</v>
      </c>
    </row>
    <row r="58" spans="1:25">
      <c r="A58" s="5" t="s">
        <v>52</v>
      </c>
      <c r="B58" s="3" t="s">
        <v>53</v>
      </c>
      <c r="C58" s="3">
        <v>0.04</v>
      </c>
      <c r="D58" s="3">
        <v>0.21</v>
      </c>
      <c r="E58" s="123">
        <f t="shared" si="0"/>
        <v>4.4099999999999993E-2</v>
      </c>
      <c r="F58" s="35" t="s">
        <v>30</v>
      </c>
      <c r="G58" s="52" t="s">
        <v>30</v>
      </c>
      <c r="J58" s="5" t="s">
        <v>52</v>
      </c>
      <c r="K58" s="3" t="s">
        <v>53</v>
      </c>
      <c r="L58" s="3">
        <v>0.25</v>
      </c>
      <c r="M58" s="3">
        <v>0.12</v>
      </c>
      <c r="N58" s="82">
        <f t="shared" si="1"/>
        <v>1.44E-2</v>
      </c>
      <c r="O58" s="35" t="s">
        <v>30</v>
      </c>
      <c r="P58" s="52" t="s">
        <v>30</v>
      </c>
      <c r="S58" s="81" t="s">
        <v>52</v>
      </c>
      <c r="T58" s="82" t="s">
        <v>53</v>
      </c>
      <c r="U58" s="82">
        <v>0.04</v>
      </c>
      <c r="V58" s="82">
        <v>0.28999999999999998</v>
      </c>
      <c r="W58" s="82">
        <f t="shared" si="2"/>
        <v>8.4099999999999994E-2</v>
      </c>
      <c r="X58" s="83" t="s">
        <v>30</v>
      </c>
      <c r="Y58" s="84" t="s">
        <v>30</v>
      </c>
    </row>
    <row r="59" spans="1:25">
      <c r="A59" s="5" t="s">
        <v>52</v>
      </c>
      <c r="B59" s="3" t="s">
        <v>54</v>
      </c>
      <c r="C59" s="3">
        <v>0.04</v>
      </c>
      <c r="D59" s="3">
        <v>0.19</v>
      </c>
      <c r="E59" s="123">
        <f t="shared" si="0"/>
        <v>3.61E-2</v>
      </c>
      <c r="F59" s="35" t="s">
        <v>30</v>
      </c>
      <c r="G59" s="52" t="s">
        <v>30</v>
      </c>
      <c r="J59" s="5" t="s">
        <v>52</v>
      </c>
      <c r="K59" s="3" t="s">
        <v>54</v>
      </c>
      <c r="L59" s="3">
        <v>0.25</v>
      </c>
      <c r="M59" s="3">
        <v>0.1</v>
      </c>
      <c r="N59" s="82">
        <f t="shared" si="1"/>
        <v>1.0000000000000002E-2</v>
      </c>
      <c r="O59" s="35" t="s">
        <v>30</v>
      </c>
      <c r="P59" s="52" t="s">
        <v>30</v>
      </c>
      <c r="S59" s="81" t="s">
        <v>52</v>
      </c>
      <c r="T59" s="82" t="s">
        <v>54</v>
      </c>
      <c r="U59" s="82">
        <v>0.04</v>
      </c>
      <c r="V59" s="82">
        <v>0.26</v>
      </c>
      <c r="W59" s="82">
        <f t="shared" si="2"/>
        <v>6.7600000000000007E-2</v>
      </c>
      <c r="X59" s="83" t="s">
        <v>30</v>
      </c>
      <c r="Y59" s="84" t="s">
        <v>30</v>
      </c>
    </row>
    <row r="60" spans="1:25">
      <c r="A60" s="5" t="s">
        <v>52</v>
      </c>
      <c r="B60" s="3" t="s">
        <v>55</v>
      </c>
      <c r="C60" s="3">
        <v>0.04</v>
      </c>
      <c r="D60" s="3">
        <v>0.14000000000000001</v>
      </c>
      <c r="E60" s="123">
        <f t="shared" si="0"/>
        <v>1.9600000000000003E-2</v>
      </c>
      <c r="F60" s="35" t="s">
        <v>30</v>
      </c>
      <c r="G60" s="52" t="s">
        <v>30</v>
      </c>
      <c r="J60" s="5" t="s">
        <v>52</v>
      </c>
      <c r="K60" s="3" t="s">
        <v>55</v>
      </c>
      <c r="L60" s="3">
        <v>0.25</v>
      </c>
      <c r="M60" s="3">
        <v>0.09</v>
      </c>
      <c r="N60" s="82">
        <f t="shared" si="1"/>
        <v>8.0999999999999996E-3</v>
      </c>
      <c r="O60" s="35" t="s">
        <v>30</v>
      </c>
      <c r="P60" s="52" t="s">
        <v>30</v>
      </c>
      <c r="S60" s="81" t="s">
        <v>52</v>
      </c>
      <c r="T60" s="82" t="s">
        <v>55</v>
      </c>
      <c r="U60" s="82">
        <v>0.04</v>
      </c>
      <c r="V60" s="82">
        <v>0.2</v>
      </c>
      <c r="W60" s="82">
        <f t="shared" si="2"/>
        <v>4.0000000000000008E-2</v>
      </c>
      <c r="X60" s="83" t="s">
        <v>30</v>
      </c>
      <c r="Y60" s="84" t="s">
        <v>30</v>
      </c>
    </row>
    <row r="61" spans="1:25" ht="15.75" thickBot="1">
      <c r="A61" s="6" t="s">
        <v>52</v>
      </c>
      <c r="B61" s="7" t="s">
        <v>56</v>
      </c>
      <c r="C61" s="7">
        <v>0.04</v>
      </c>
      <c r="D61" s="7">
        <v>0.17</v>
      </c>
      <c r="E61" s="126">
        <f t="shared" si="0"/>
        <v>2.8900000000000006E-2</v>
      </c>
      <c r="F61" s="77">
        <f>AVERAGE(D46:D61)</f>
        <v>0.17999999999999997</v>
      </c>
      <c r="G61" s="78">
        <f>F61*$B$8*0.3048^2</f>
        <v>1.1758040999999997E-2</v>
      </c>
      <c r="J61" s="5" t="s">
        <v>52</v>
      </c>
      <c r="K61" s="3" t="s">
        <v>56</v>
      </c>
      <c r="L61" s="3">
        <v>0.25</v>
      </c>
      <c r="M61" s="3">
        <v>0.11</v>
      </c>
      <c r="N61" s="82">
        <f t="shared" si="1"/>
        <v>1.21E-2</v>
      </c>
      <c r="O61" s="35" t="s">
        <v>30</v>
      </c>
      <c r="P61" s="52" t="s">
        <v>30</v>
      </c>
      <c r="S61" s="85" t="s">
        <v>52</v>
      </c>
      <c r="T61" s="86" t="s">
        <v>56</v>
      </c>
      <c r="U61" s="86">
        <v>0.04</v>
      </c>
      <c r="V61" s="86">
        <v>0.21</v>
      </c>
      <c r="W61" s="86">
        <f t="shared" si="2"/>
        <v>4.4099999999999993E-2</v>
      </c>
      <c r="X61" s="77">
        <f>AVERAGE(V46:V61)</f>
        <v>0.26937499999999998</v>
      </c>
      <c r="Y61" s="78">
        <f>X61*$R$8*0.3048^2</f>
        <v>1.2382535718749999E-2</v>
      </c>
    </row>
    <row r="62" spans="1:25">
      <c r="J62" s="67" t="s">
        <v>52</v>
      </c>
      <c r="K62" s="68" t="s">
        <v>53</v>
      </c>
      <c r="L62" s="68">
        <v>0.18</v>
      </c>
      <c r="M62" s="68">
        <v>0.11</v>
      </c>
      <c r="N62" s="68">
        <f t="shared" si="1"/>
        <v>1.21E-2</v>
      </c>
      <c r="O62" s="69" t="s">
        <v>30</v>
      </c>
      <c r="P62" s="70" t="s">
        <v>30</v>
      </c>
    </row>
    <row r="63" spans="1:25">
      <c r="J63" s="67" t="s">
        <v>52</v>
      </c>
      <c r="K63" s="68" t="s">
        <v>54</v>
      </c>
      <c r="L63" s="68">
        <v>0.18</v>
      </c>
      <c r="M63" s="68">
        <v>0.08</v>
      </c>
      <c r="N63" s="68">
        <f t="shared" si="1"/>
        <v>6.4000000000000003E-3</v>
      </c>
      <c r="O63" s="69" t="s">
        <v>30</v>
      </c>
      <c r="P63" s="70" t="s">
        <v>30</v>
      </c>
    </row>
    <row r="64" spans="1:25">
      <c r="J64" s="67" t="s">
        <v>52</v>
      </c>
      <c r="K64" s="68" t="s">
        <v>55</v>
      </c>
      <c r="L64" s="68">
        <v>0.18</v>
      </c>
      <c r="M64" s="68">
        <v>7.0000000000000007E-2</v>
      </c>
      <c r="N64" s="68">
        <f t="shared" si="1"/>
        <v>4.9000000000000007E-3</v>
      </c>
      <c r="O64" s="69" t="s">
        <v>30</v>
      </c>
      <c r="P64" s="70" t="s">
        <v>30</v>
      </c>
    </row>
    <row r="65" spans="1:24">
      <c r="J65" s="67" t="s">
        <v>52</v>
      </c>
      <c r="K65" s="68" t="s">
        <v>56</v>
      </c>
      <c r="L65" s="68">
        <v>0.18</v>
      </c>
      <c r="M65" s="68">
        <v>0.09</v>
      </c>
      <c r="N65" s="68">
        <f t="shared" si="1"/>
        <v>8.0999999999999996E-3</v>
      </c>
      <c r="O65" s="69" t="s">
        <v>30</v>
      </c>
      <c r="P65" s="70" t="s">
        <v>30</v>
      </c>
    </row>
    <row r="66" spans="1:24" ht="15.75" thickBot="1">
      <c r="J66" s="5" t="s">
        <v>52</v>
      </c>
      <c r="K66" s="3" t="s">
        <v>53</v>
      </c>
      <c r="L66" s="3">
        <v>0.11</v>
      </c>
      <c r="M66" s="3">
        <v>0.13</v>
      </c>
      <c r="N66" s="82">
        <f t="shared" si="1"/>
        <v>1.6900000000000002E-2</v>
      </c>
      <c r="O66" s="35" t="s">
        <v>30</v>
      </c>
      <c r="P66" s="52" t="s">
        <v>30</v>
      </c>
      <c r="S66" s="41" t="s">
        <v>50</v>
      </c>
      <c r="V66" s="40" t="s">
        <v>49</v>
      </c>
    </row>
    <row r="67" spans="1:24" ht="18.75">
      <c r="J67" s="5" t="s">
        <v>52</v>
      </c>
      <c r="K67" s="3" t="s">
        <v>54</v>
      </c>
      <c r="L67" s="3">
        <v>0.11</v>
      </c>
      <c r="M67" s="3">
        <v>0.11</v>
      </c>
      <c r="N67" s="82">
        <f t="shared" si="1"/>
        <v>1.21E-2</v>
      </c>
      <c r="O67" s="35" t="s">
        <v>30</v>
      </c>
      <c r="P67" s="52" t="s">
        <v>30</v>
      </c>
      <c r="S67" s="16" t="s">
        <v>41</v>
      </c>
      <c r="T67" s="17">
        <v>0.33800000000000002</v>
      </c>
      <c r="V67" s="16" t="s">
        <v>44</v>
      </c>
      <c r="W67" s="42">
        <f>$B$6*U4/12</f>
        <v>0.49479166666666669</v>
      </c>
    </row>
    <row r="68" spans="1:24" ht="18.75">
      <c r="J68" s="5" t="s">
        <v>52</v>
      </c>
      <c r="K68" s="3" t="s">
        <v>55</v>
      </c>
      <c r="L68" s="3">
        <v>0.11</v>
      </c>
      <c r="M68" s="3">
        <v>7.0000000000000007E-2</v>
      </c>
      <c r="N68" s="82">
        <f t="shared" si="1"/>
        <v>4.9000000000000007E-3</v>
      </c>
      <c r="O68" s="35" t="s">
        <v>30</v>
      </c>
      <c r="P68" s="52" t="s">
        <v>30</v>
      </c>
      <c r="S68" s="18" t="s">
        <v>42</v>
      </c>
      <c r="T68" s="8">
        <f>10*6</f>
        <v>60</v>
      </c>
      <c r="V68" s="18" t="s">
        <v>45</v>
      </c>
      <c r="W68" s="26">
        <f>$B$6*U5/12</f>
        <v>0.49479166666666669</v>
      </c>
    </row>
    <row r="69" spans="1:24" ht="19.5" thickBot="1">
      <c r="J69" s="5" t="s">
        <v>52</v>
      </c>
      <c r="K69" s="3" t="s">
        <v>56</v>
      </c>
      <c r="L69" s="3">
        <v>0.11</v>
      </c>
      <c r="M69" s="3">
        <v>0.08</v>
      </c>
      <c r="N69" s="82">
        <f t="shared" si="1"/>
        <v>6.4000000000000003E-3</v>
      </c>
      <c r="O69" s="35" t="s">
        <v>30</v>
      </c>
      <c r="P69" s="52" t="s">
        <v>30</v>
      </c>
      <c r="S69" s="27" t="s">
        <v>43</v>
      </c>
      <c r="T69" s="44">
        <f>T68*T67/144</f>
        <v>0.14083333333333334</v>
      </c>
      <c r="V69" s="18" t="s">
        <v>46</v>
      </c>
      <c r="W69" s="25">
        <f>CONVERT(X45,"m","ft")</f>
        <v>0.90428149606299224</v>
      </c>
    </row>
    <row r="70" spans="1:24" ht="18">
      <c r="J70" s="67" t="s">
        <v>52</v>
      </c>
      <c r="K70" s="68" t="s">
        <v>53</v>
      </c>
      <c r="L70" s="68">
        <v>0.04</v>
      </c>
      <c r="M70" s="68">
        <v>0.11</v>
      </c>
      <c r="N70" s="68">
        <f t="shared" si="1"/>
        <v>1.21E-2</v>
      </c>
      <c r="O70" s="69" t="s">
        <v>30</v>
      </c>
      <c r="P70" s="70" t="s">
        <v>30</v>
      </c>
      <c r="V70" s="18" t="s">
        <v>47</v>
      </c>
      <c r="W70" s="25">
        <f>CONVERT(X61,"m","ft")</f>
        <v>0.88377624671916</v>
      </c>
    </row>
    <row r="71" spans="1:24" ht="18">
      <c r="J71" s="67" t="s">
        <v>52</v>
      </c>
      <c r="K71" s="68" t="s">
        <v>54</v>
      </c>
      <c r="L71" s="68">
        <v>0.04</v>
      </c>
      <c r="M71" s="68">
        <v>0.11</v>
      </c>
      <c r="N71" s="68">
        <f t="shared" si="1"/>
        <v>1.21E-2</v>
      </c>
      <c r="O71" s="69" t="s">
        <v>30</v>
      </c>
      <c r="P71" s="70" t="s">
        <v>30</v>
      </c>
      <c r="V71" s="18" t="s">
        <v>48</v>
      </c>
      <c r="W71" s="25">
        <f>CONVERT(X29,"m","ft")</f>
        <v>0.92888779527559051</v>
      </c>
    </row>
    <row r="72" spans="1:24" ht="18.75" thickBot="1">
      <c r="J72" s="67" t="s">
        <v>52</v>
      </c>
      <c r="K72" s="68" t="s">
        <v>55</v>
      </c>
      <c r="L72" s="68">
        <v>0.04</v>
      </c>
      <c r="M72" s="68">
        <v>7.0000000000000007E-2</v>
      </c>
      <c r="N72" s="68">
        <f t="shared" si="1"/>
        <v>4.9000000000000007E-3</v>
      </c>
      <c r="O72" s="69" t="s">
        <v>30</v>
      </c>
      <c r="P72" s="70" t="s">
        <v>30</v>
      </c>
      <c r="V72" s="127" t="s">
        <v>51</v>
      </c>
      <c r="W72" s="128">
        <f>2*(W69^2*W67-W70^2*W68)/(T69*W71^2)</f>
        <v>0.29858431817860392</v>
      </c>
      <c r="X72" t="s">
        <v>74</v>
      </c>
    </row>
    <row r="73" spans="1:24" ht="18.75" thickBot="1">
      <c r="J73" s="79" t="s">
        <v>52</v>
      </c>
      <c r="K73" s="80" t="s">
        <v>56</v>
      </c>
      <c r="L73" s="80">
        <v>0.04</v>
      </c>
      <c r="M73" s="80">
        <v>0.08</v>
      </c>
      <c r="N73" s="80">
        <f t="shared" si="1"/>
        <v>6.4000000000000003E-3</v>
      </c>
      <c r="O73" s="77">
        <f>AVERAGE(M54:M73)</f>
        <v>9.8500000000000046E-2</v>
      </c>
      <c r="P73" s="78">
        <f>O73*$J$8*0.3048^2</f>
        <v>1.0747599472500006E-2</v>
      </c>
      <c r="V73" s="27" t="s">
        <v>51</v>
      </c>
      <c r="W73" s="129">
        <f>2*(W67/16*SUM(W30:W45)/0.3048^2-W68/16*SUM(W46:W61)/0.3048^2)/(T69*W71^2)</f>
        <v>0.25530328857105994</v>
      </c>
      <c r="X73" t="s">
        <v>75</v>
      </c>
    </row>
    <row r="75" spans="1:24" ht="15.75" thickBot="1">
      <c r="A75" s="41" t="s">
        <v>50</v>
      </c>
      <c r="D75" s="40" t="s">
        <v>49</v>
      </c>
      <c r="J75" s="41" t="s">
        <v>50</v>
      </c>
      <c r="M75" s="40" t="s">
        <v>49</v>
      </c>
    </row>
    <row r="76" spans="1:24" ht="18.75">
      <c r="A76" s="16" t="s">
        <v>41</v>
      </c>
      <c r="B76" s="17">
        <v>0.44600000000000001</v>
      </c>
      <c r="D76" s="16" t="s">
        <v>44</v>
      </c>
      <c r="E76" s="42">
        <f>$B$6*E4/12</f>
        <v>0.703125</v>
      </c>
      <c r="J76" s="16" t="s">
        <v>41</v>
      </c>
      <c r="K76" s="17">
        <v>0.47299999999999998</v>
      </c>
      <c r="M76" s="16" t="s">
        <v>44</v>
      </c>
      <c r="N76" s="42">
        <f>$B$6*M4/12</f>
        <v>1.171875</v>
      </c>
      <c r="S76" s="10" t="s">
        <v>57</v>
      </c>
    </row>
    <row r="77" spans="1:24" ht="18.75">
      <c r="A77" s="18" t="s">
        <v>42</v>
      </c>
      <c r="B77" s="8">
        <f>10*8.5</f>
        <v>85</v>
      </c>
      <c r="D77" s="18" t="s">
        <v>45</v>
      </c>
      <c r="E77" s="26">
        <f>$B$6*E5/12</f>
        <v>0.703125</v>
      </c>
      <c r="J77" s="18" t="s">
        <v>42</v>
      </c>
      <c r="K77" s="8">
        <f>12*14.1</f>
        <v>169.2</v>
      </c>
      <c r="M77" s="18" t="s">
        <v>45</v>
      </c>
      <c r="N77" s="26">
        <f>$B$6*M5/12</f>
        <v>1.1770833333333333</v>
      </c>
      <c r="S77" s="13" t="s">
        <v>5</v>
      </c>
      <c r="T77" s="3">
        <v>5.0000000000000001E-3</v>
      </c>
    </row>
    <row r="78" spans="1:24" ht="19.5" thickBot="1">
      <c r="A78" s="27" t="s">
        <v>43</v>
      </c>
      <c r="B78" s="44">
        <f>B77*B76/144</f>
        <v>0.26326388888888891</v>
      </c>
      <c r="D78" s="18" t="s">
        <v>46</v>
      </c>
      <c r="E78" s="25">
        <f>CONVERT(F45,"m","ft")</f>
        <v>0.62335958005249348</v>
      </c>
      <c r="J78" s="27" t="s">
        <v>43</v>
      </c>
      <c r="K78" s="44">
        <f>K77*K76/144</f>
        <v>0.55577500000000002</v>
      </c>
      <c r="M78" s="18" t="s">
        <v>46</v>
      </c>
      <c r="N78" s="25">
        <f>CONVERT(O53,"m","ft")</f>
        <v>0.36089238845144367</v>
      </c>
      <c r="S78" s="13" t="s">
        <v>6</v>
      </c>
      <c r="T78" s="3">
        <v>1.486</v>
      </c>
    </row>
    <row r="79" spans="1:24" ht="18">
      <c r="D79" s="18" t="s">
        <v>47</v>
      </c>
      <c r="E79" s="25">
        <f>CONVERT(F61,"m","ft")</f>
        <v>0.59055118110236215</v>
      </c>
      <c r="M79" s="18" t="s">
        <v>47</v>
      </c>
      <c r="N79" s="25">
        <f>CONVERT(O73,"m","ft")</f>
        <v>0.32316272965879278</v>
      </c>
      <c r="S79" s="13" t="s">
        <v>58</v>
      </c>
      <c r="T79" s="30">
        <f>($B$6*AVERAGE(U4:U5)/12)/(2*AVERAGE(U4:U5)/12+$B$6)</f>
        <v>0.24869109947643978</v>
      </c>
    </row>
    <row r="80" spans="1:24" ht="18">
      <c r="D80" s="18" t="s">
        <v>48</v>
      </c>
      <c r="E80" s="25">
        <f>CONVERT(F29,"m","ft")</f>
        <v>0.63566272965879278</v>
      </c>
      <c r="M80" s="18" t="s">
        <v>48</v>
      </c>
      <c r="N80" s="25">
        <f>CONVERT(O33,"m","ft")</f>
        <v>0.35925196850393709</v>
      </c>
      <c r="S80" s="13" t="s">
        <v>59</v>
      </c>
      <c r="T80" s="132">
        <f>T78*T79^(2/3)*SQRT(T77)/CONVERT(AVERAGE(X61),"m","ft")</f>
        <v>4.7018450740451585E-2</v>
      </c>
    </row>
    <row r="81" spans="1:15" ht="18.75" thickBot="1">
      <c r="D81" s="127" t="s">
        <v>51</v>
      </c>
      <c r="E81" s="128">
        <f>2*(E78^2*E76-E79^2*E77)/(B78*E80^2)</f>
        <v>0.52648929456945481</v>
      </c>
      <c r="F81" t="s">
        <v>74</v>
      </c>
      <c r="M81" s="127" t="s">
        <v>51</v>
      </c>
      <c r="N81" s="128">
        <f>2*(N78^2*N76-N79^2*N77)/(K78*N80^2)</f>
        <v>0.8281452351685441</v>
      </c>
      <c r="O81" t="s">
        <v>74</v>
      </c>
    </row>
    <row r="82" spans="1:15" ht="18.75" thickBot="1">
      <c r="D82" s="27" t="s">
        <v>51</v>
      </c>
      <c r="E82" s="129">
        <f>2*(E76/16*SUM(E30:E45)/0.3048^2-E77/16*SUM(E46:E61)/0.3048^2)/(B78*E80^2)</f>
        <v>0.464235492846714</v>
      </c>
      <c r="F82" t="s">
        <v>75</v>
      </c>
      <c r="M82" s="27" t="s">
        <v>51</v>
      </c>
      <c r="N82" s="129">
        <f>2*(N76/20*SUM(N34:N53)/0.3048^2-N77/20*SUM(N54:N73)/0.3048^2)/(K78*N80^2)</f>
        <v>0.73874616361465673</v>
      </c>
      <c r="O82" t="s">
        <v>75</v>
      </c>
    </row>
    <row r="85" spans="1:15">
      <c r="A85" s="10" t="s">
        <v>57</v>
      </c>
      <c r="J85" s="10" t="s">
        <v>57</v>
      </c>
    </row>
    <row r="86" spans="1:15" ht="18">
      <c r="A86" s="13" t="s">
        <v>5</v>
      </c>
      <c r="B86" s="3">
        <v>5.0000000000000001E-3</v>
      </c>
      <c r="J86" s="13" t="s">
        <v>5</v>
      </c>
      <c r="K86" s="3">
        <v>5.0000000000000001E-3</v>
      </c>
    </row>
    <row r="87" spans="1:15" ht="18.75">
      <c r="A87" s="13" t="s">
        <v>6</v>
      </c>
      <c r="B87" s="3">
        <v>1.486</v>
      </c>
      <c r="J87" s="13" t="s">
        <v>6</v>
      </c>
      <c r="K87" s="3">
        <v>1.486</v>
      </c>
    </row>
    <row r="88" spans="1:15" ht="18">
      <c r="A88" s="13" t="s">
        <v>58</v>
      </c>
      <c r="B88" s="30">
        <f>($B$6*AVERAGE(E4:E5)/12)/(2*AVERAGE(E4:E5)/12+$B$6)</f>
        <v>0.29220779220779219</v>
      </c>
      <c r="J88" s="13" t="s">
        <v>58</v>
      </c>
      <c r="K88" s="30">
        <f>($B$6*AVERAGE(M4:M5)/12)/(2*AVERAGE(M4:M5)/12+$B$6)</f>
        <v>0.35069984447900465</v>
      </c>
    </row>
    <row r="89" spans="1:15">
      <c r="A89" s="13" t="s">
        <v>59</v>
      </c>
      <c r="B89" s="14">
        <f>B87*B88^(2/3)*SQRT(B86)/CONVERT(AVERAGE(F61),"m","ft")</f>
        <v>7.8350324189078974E-2</v>
      </c>
      <c r="J89" s="13" t="s">
        <v>59</v>
      </c>
      <c r="K89" s="14">
        <f>K87*K88^(2/3)*SQRT(K86)/CONVERT(AVERAGE(O73),"m","ft")</f>
        <v>0.16169859982287865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0"/>
  <sheetViews>
    <sheetView zoomScaleNormal="100" workbookViewId="0">
      <selection activeCell="N104" sqref="N104"/>
    </sheetView>
  </sheetViews>
  <sheetFormatPr defaultRowHeight="15"/>
  <cols>
    <col min="1" max="1" width="12.28515625" customWidth="1"/>
    <col min="3" max="3" width="13.28515625" customWidth="1"/>
    <col min="4" max="4" width="13.42578125" customWidth="1"/>
    <col min="5" max="5" width="11.85546875" customWidth="1"/>
    <col min="6" max="6" width="10.85546875" bestFit="1" customWidth="1"/>
    <col min="9" max="9" width="12" customWidth="1"/>
    <col min="10" max="10" width="15.28515625" customWidth="1"/>
    <col min="12" max="12" width="13.140625" customWidth="1"/>
    <col min="13" max="13" width="16.28515625" customWidth="1"/>
    <col min="14" max="14" width="10" customWidth="1"/>
    <col min="15" max="15" width="10.85546875" bestFit="1" customWidth="1"/>
    <col min="17" max="17" width="11.85546875" customWidth="1"/>
    <col min="18" max="18" width="9.140625" customWidth="1"/>
    <col min="19" max="19" width="12.7109375" customWidth="1"/>
    <col min="20" max="20" width="12.85546875" customWidth="1"/>
    <col min="21" max="21" width="10.28515625" customWidth="1"/>
    <col min="22" max="22" width="12.42578125" customWidth="1"/>
    <col min="23" max="23" width="9.85546875" customWidth="1"/>
    <col min="24" max="24" width="10.85546875" bestFit="1" customWidth="1"/>
  </cols>
  <sheetData>
    <row r="1" spans="1:25">
      <c r="A1" t="s">
        <v>374</v>
      </c>
    </row>
    <row r="2" spans="1:25" ht="15.75" thickBot="1">
      <c r="A2" s="9" t="s">
        <v>62</v>
      </c>
      <c r="B2" s="9"/>
      <c r="C2" s="28">
        <v>42223</v>
      </c>
      <c r="I2" s="9" t="s">
        <v>62</v>
      </c>
      <c r="J2" s="9"/>
      <c r="K2" s="28">
        <v>42223</v>
      </c>
      <c r="Q2" s="9" t="s">
        <v>62</v>
      </c>
      <c r="R2" s="9"/>
      <c r="S2" s="28">
        <v>42223</v>
      </c>
    </row>
    <row r="3" spans="1:25" ht="15.75" thickBot="1">
      <c r="A3" s="16" t="s">
        <v>21</v>
      </c>
      <c r="B3" s="17" t="s">
        <v>22</v>
      </c>
      <c r="I3" s="16" t="s">
        <v>21</v>
      </c>
      <c r="J3" s="17" t="s">
        <v>39</v>
      </c>
      <c r="Q3" s="16" t="s">
        <v>21</v>
      </c>
      <c r="R3" s="17" t="s">
        <v>31</v>
      </c>
    </row>
    <row r="4" spans="1:25" ht="18">
      <c r="A4" s="18" t="s">
        <v>5</v>
      </c>
      <c r="B4" s="8">
        <v>5.0000000000000001E-3</v>
      </c>
      <c r="D4" s="16" t="s">
        <v>34</v>
      </c>
      <c r="E4" s="17">
        <f>8+9/16</f>
        <v>8.5625</v>
      </c>
      <c r="I4" s="18" t="s">
        <v>5</v>
      </c>
      <c r="J4" s="8">
        <v>5.0000000000000001E-3</v>
      </c>
      <c r="L4" s="16" t="s">
        <v>34</v>
      </c>
      <c r="M4" s="17">
        <f>13+13/16</f>
        <v>13.8125</v>
      </c>
      <c r="Q4" s="18" t="s">
        <v>5</v>
      </c>
      <c r="R4" s="8">
        <v>5.0000000000000001E-3</v>
      </c>
      <c r="T4" s="16" t="s">
        <v>34</v>
      </c>
      <c r="U4" s="17">
        <f>5+15/16</f>
        <v>5.9375</v>
      </c>
    </row>
    <row r="5" spans="1:25" ht="18">
      <c r="A5" s="18" t="s">
        <v>14</v>
      </c>
      <c r="B5" s="26">
        <v>5</v>
      </c>
      <c r="C5" t="s">
        <v>15</v>
      </c>
      <c r="D5" s="18" t="s">
        <v>35</v>
      </c>
      <c r="E5" s="8">
        <v>8.5</v>
      </c>
      <c r="G5" t="s">
        <v>232</v>
      </c>
      <c r="I5" s="18" t="s">
        <v>14</v>
      </c>
      <c r="J5" s="26">
        <v>5</v>
      </c>
      <c r="K5" t="s">
        <v>15</v>
      </c>
      <c r="L5" s="18" t="s">
        <v>35</v>
      </c>
      <c r="M5" s="8">
        <f>13+13/16</f>
        <v>13.8125</v>
      </c>
      <c r="O5" t="s">
        <v>232</v>
      </c>
      <c r="Q5" s="18" t="s">
        <v>14</v>
      </c>
      <c r="R5" s="26">
        <v>5</v>
      </c>
      <c r="S5" t="s">
        <v>15</v>
      </c>
      <c r="T5" s="18" t="s">
        <v>35</v>
      </c>
      <c r="U5" s="8">
        <f>5+15/16</f>
        <v>5.9375</v>
      </c>
      <c r="W5" t="s">
        <v>232</v>
      </c>
    </row>
    <row r="6" spans="1:25" ht="18">
      <c r="A6" s="18" t="s">
        <v>23</v>
      </c>
      <c r="B6" s="8">
        <v>1</v>
      </c>
      <c r="D6" s="32" t="s">
        <v>38</v>
      </c>
      <c r="E6" s="25">
        <f>E7/0.3048</f>
        <v>0.56081856955380571</v>
      </c>
      <c r="G6">
        <f>CONVERT(E4,"in","m")</f>
        <v>0.2174875</v>
      </c>
      <c r="I6" s="18" t="s">
        <v>23</v>
      </c>
      <c r="J6" s="8">
        <v>1</v>
      </c>
      <c r="L6" s="32" t="s">
        <v>38</v>
      </c>
      <c r="M6" s="25">
        <f>M7/0.3048</f>
        <v>0.3280839895013124</v>
      </c>
      <c r="O6">
        <f>CONVERT(J7,"in","m")</f>
        <v>0.35083750000000002</v>
      </c>
      <c r="Q6" s="18" t="s">
        <v>23</v>
      </c>
      <c r="R6" s="8">
        <v>1</v>
      </c>
      <c r="T6" s="32" t="s">
        <v>38</v>
      </c>
      <c r="U6" s="25">
        <f>U7/0.3048</f>
        <v>0.88172572178477682</v>
      </c>
      <c r="W6">
        <f>CONVERT(U4,"in","m")</f>
        <v>0.15081249999999999</v>
      </c>
    </row>
    <row r="7" spans="1:25" ht="18">
      <c r="A7" s="18" t="s">
        <v>0</v>
      </c>
      <c r="B7" s="8">
        <f>AVERAGE(E4:E5)</f>
        <v>8.53125</v>
      </c>
      <c r="D7" s="32" t="s">
        <v>25</v>
      </c>
      <c r="E7" s="25">
        <f>AVERAGE(F29,F45,F77,F61)</f>
        <v>0.17093749999999999</v>
      </c>
      <c r="G7">
        <f>G6/4</f>
        <v>5.4371875E-2</v>
      </c>
      <c r="I7" s="18" t="s">
        <v>0</v>
      </c>
      <c r="J7" s="26">
        <f>AVERAGE(M4:M5)</f>
        <v>13.8125</v>
      </c>
      <c r="L7" s="32" t="s">
        <v>25</v>
      </c>
      <c r="M7" s="25">
        <f>AVERAGE(O33,O53,O93,O73)</f>
        <v>0.10000000000000002</v>
      </c>
      <c r="O7">
        <f>O6/5</f>
        <v>7.0167500000000008E-2</v>
      </c>
      <c r="Q7" s="18" t="s">
        <v>0</v>
      </c>
      <c r="R7" s="26">
        <f>AVERAGE(U4:U5)</f>
        <v>5.9375</v>
      </c>
      <c r="T7" s="32" t="s">
        <v>25</v>
      </c>
      <c r="U7" s="25">
        <f>AVERAGE(X29,X45,X61,X77)</f>
        <v>0.26874999999999999</v>
      </c>
      <c r="W7">
        <f>W6/4</f>
        <v>3.7703124999999997E-2</v>
      </c>
    </row>
    <row r="8" spans="1:25" ht="18.75">
      <c r="A8" s="18" t="s">
        <v>26</v>
      </c>
      <c r="B8" s="25">
        <f>B6*B7/12</f>
        <v>0.7109375</v>
      </c>
      <c r="D8" s="32" t="s">
        <v>37</v>
      </c>
      <c r="E8" s="25">
        <f>E9/0.3048^3</f>
        <v>0.39870695179215876</v>
      </c>
      <c r="G8" s="12">
        <f>G6-0.5*G7</f>
        <v>0.19030156249999999</v>
      </c>
      <c r="H8" s="59">
        <v>1</v>
      </c>
      <c r="I8" s="18" t="s">
        <v>26</v>
      </c>
      <c r="J8" s="25">
        <f>J6*J7/12</f>
        <v>1.1510416666666667</v>
      </c>
      <c r="L8" s="32" t="s">
        <v>37</v>
      </c>
      <c r="M8" s="25">
        <f>M9/0.3048^3</f>
        <v>0.37763834208223979</v>
      </c>
      <c r="O8" s="12">
        <f>O6-0.5*O7</f>
        <v>0.31575375</v>
      </c>
      <c r="Q8" s="18" t="s">
        <v>26</v>
      </c>
      <c r="R8" s="25">
        <f>R6*R7/12</f>
        <v>0.49479166666666669</v>
      </c>
      <c r="T8" s="32" t="s">
        <v>37</v>
      </c>
      <c r="U8" s="25">
        <f>U9/0.3048^3</f>
        <v>0.43627053942475941</v>
      </c>
      <c r="W8" s="12">
        <f>W6-0.5*W7</f>
        <v>0.13196093749999999</v>
      </c>
    </row>
    <row r="9" spans="1:25" ht="18.75" thickBot="1">
      <c r="A9" s="18" t="s">
        <v>27</v>
      </c>
      <c r="B9" s="26">
        <f>1+11/16</f>
        <v>1.6875</v>
      </c>
      <c r="D9" s="33" t="s">
        <v>36</v>
      </c>
      <c r="E9" s="34">
        <f>AVERAGE(G29,G45,G77,G61)</f>
        <v>1.1290123589062501E-2</v>
      </c>
      <c r="G9" s="12">
        <f>G6-1.5*G7</f>
        <v>0.13592968750000001</v>
      </c>
      <c r="H9" s="59">
        <v>2</v>
      </c>
      <c r="I9" s="18" t="s">
        <v>27</v>
      </c>
      <c r="J9" s="26">
        <v>1.5</v>
      </c>
      <c r="L9" s="33" t="s">
        <v>36</v>
      </c>
      <c r="M9" s="44">
        <f>AVERAGE(P33,P53,P93,P73)</f>
        <v>1.0693527000000003E-2</v>
      </c>
      <c r="O9" s="12">
        <f>O6-1.5*O7</f>
        <v>0.24558625000000001</v>
      </c>
      <c r="Q9" s="18" t="s">
        <v>27</v>
      </c>
      <c r="R9" s="26">
        <f>1+10/16</f>
        <v>1.625</v>
      </c>
      <c r="T9" s="33" t="s">
        <v>36</v>
      </c>
      <c r="U9" s="34">
        <f>AVERAGE(Y29,Y45,Y61,Y77)</f>
        <v>1.2353805937500002E-2</v>
      </c>
      <c r="W9" s="12">
        <f>W6-1.5*W7</f>
        <v>9.4257812499999996E-2</v>
      </c>
    </row>
    <row r="10" spans="1:25" ht="18">
      <c r="A10" s="18" t="s">
        <v>28</v>
      </c>
      <c r="B10" s="25">
        <f>SQRT(32.2)*B6*(B9/12)^(3/2)</f>
        <v>0.29924144210624998</v>
      </c>
      <c r="G10" s="12">
        <f>G6-2.5*G7</f>
        <v>8.1557812499999993E-2</v>
      </c>
      <c r="H10" s="59">
        <v>3</v>
      </c>
      <c r="I10" s="18" t="s">
        <v>28</v>
      </c>
      <c r="J10" s="25">
        <f>SQRT(32.2)*J6*(J9/12)^(3/2)</f>
        <v>0.25078003309673613</v>
      </c>
      <c r="O10" s="12">
        <f>O6-2.5*O7</f>
        <v>0.17541875000000001</v>
      </c>
      <c r="Q10" s="18" t="s">
        <v>28</v>
      </c>
      <c r="R10" s="25">
        <f>SQRT(32.2)*R6*(R9/12)^(3/2)</f>
        <v>0.28277181196466955</v>
      </c>
      <c r="W10" s="12">
        <f>W6-2.5*W7</f>
        <v>5.6554687499999992E-2</v>
      </c>
    </row>
    <row r="11" spans="1:25" ht="18.75" thickBot="1">
      <c r="A11" s="27" t="s">
        <v>29</v>
      </c>
      <c r="B11" s="34">
        <f>B10*0.3048^3</f>
        <v>8.4735740100915311E-3</v>
      </c>
      <c r="D11" s="11"/>
      <c r="G11" s="12">
        <f>G6-3.5*G7</f>
        <v>2.7185937500000007E-2</v>
      </c>
      <c r="H11" s="59">
        <v>4</v>
      </c>
      <c r="I11" s="27" t="s">
        <v>29</v>
      </c>
      <c r="J11" s="34">
        <f>J10*0.3048^3</f>
        <v>7.1012997255369605E-3</v>
      </c>
      <c r="L11" s="11"/>
      <c r="O11" s="12">
        <f>O6-3.5*O7</f>
        <v>0.10525124999999999</v>
      </c>
      <c r="Q11" s="27" t="s">
        <v>29</v>
      </c>
      <c r="R11" s="34">
        <f>R10*0.3048^3</f>
        <v>8.0072060199454197E-3</v>
      </c>
      <c r="T11" s="11"/>
      <c r="W11" s="12">
        <f>W6-3.5*W7</f>
        <v>1.8851562500000002E-2</v>
      </c>
    </row>
    <row r="12" spans="1:25" ht="15.75" thickBot="1"/>
    <row r="13" spans="1:25" ht="19.5" thickBot="1">
      <c r="A13" s="60" t="s">
        <v>7</v>
      </c>
      <c r="B13" s="61" t="s">
        <v>10</v>
      </c>
      <c r="C13" s="61" t="s">
        <v>8</v>
      </c>
      <c r="D13" s="61" t="s">
        <v>9</v>
      </c>
      <c r="E13" s="46" t="s">
        <v>73</v>
      </c>
      <c r="F13" s="61" t="s">
        <v>25</v>
      </c>
      <c r="G13" s="62" t="s">
        <v>3</v>
      </c>
      <c r="H13" s="12"/>
      <c r="I13" s="59"/>
      <c r="J13" s="60" t="s">
        <v>7</v>
      </c>
      <c r="K13" s="61" t="s">
        <v>10</v>
      </c>
      <c r="L13" s="61" t="s">
        <v>8</v>
      </c>
      <c r="M13" s="61" t="s">
        <v>9</v>
      </c>
      <c r="N13" s="46" t="s">
        <v>73</v>
      </c>
      <c r="O13" s="61" t="s">
        <v>25</v>
      </c>
      <c r="P13" s="62" t="s">
        <v>3</v>
      </c>
      <c r="Q13" s="12"/>
      <c r="S13" s="60" t="s">
        <v>7</v>
      </c>
      <c r="T13" s="61" t="s">
        <v>10</v>
      </c>
      <c r="U13" s="61" t="s">
        <v>8</v>
      </c>
      <c r="V13" s="61" t="s">
        <v>9</v>
      </c>
      <c r="W13" s="46" t="s">
        <v>73</v>
      </c>
      <c r="X13" s="61" t="s">
        <v>25</v>
      </c>
      <c r="Y13" s="62" t="s">
        <v>3</v>
      </c>
    </row>
    <row r="14" spans="1:25">
      <c r="A14" s="71" t="s">
        <v>32</v>
      </c>
      <c r="B14" s="72" t="s">
        <v>53</v>
      </c>
      <c r="C14" s="72">
        <v>0.19</v>
      </c>
      <c r="D14" s="72">
        <v>0.22</v>
      </c>
      <c r="E14" s="72">
        <f>D14^2</f>
        <v>4.8399999999999999E-2</v>
      </c>
      <c r="F14" s="73" t="s">
        <v>30</v>
      </c>
      <c r="G14" s="74" t="s">
        <v>30</v>
      </c>
      <c r="J14" s="71" t="s">
        <v>32</v>
      </c>
      <c r="K14" s="72" t="s">
        <v>53</v>
      </c>
      <c r="L14" s="72">
        <v>0.32</v>
      </c>
      <c r="M14" s="72">
        <v>0.11</v>
      </c>
      <c r="N14" s="72">
        <f>M14^2</f>
        <v>1.21E-2</v>
      </c>
      <c r="O14" s="73" t="s">
        <v>30</v>
      </c>
      <c r="P14" s="74" t="s">
        <v>30</v>
      </c>
      <c r="S14" s="71" t="s">
        <v>32</v>
      </c>
      <c r="T14" s="72" t="s">
        <v>53</v>
      </c>
      <c r="U14" s="72">
        <v>0.14000000000000001</v>
      </c>
      <c r="V14" s="72">
        <v>0.31</v>
      </c>
      <c r="W14" s="72">
        <f>V14^2</f>
        <v>9.6100000000000005E-2</v>
      </c>
      <c r="X14" s="73" t="s">
        <v>30</v>
      </c>
      <c r="Y14" s="74" t="s">
        <v>30</v>
      </c>
    </row>
    <row r="15" spans="1:25">
      <c r="A15" s="67" t="s">
        <v>32</v>
      </c>
      <c r="B15" s="68" t="s">
        <v>54</v>
      </c>
      <c r="C15" s="68">
        <v>0.19</v>
      </c>
      <c r="D15" s="68">
        <v>0.17</v>
      </c>
      <c r="E15" s="68">
        <f>D15^2</f>
        <v>2.8900000000000006E-2</v>
      </c>
      <c r="F15" s="69" t="s">
        <v>30</v>
      </c>
      <c r="G15" s="70" t="s">
        <v>30</v>
      </c>
      <c r="J15" s="67" t="s">
        <v>32</v>
      </c>
      <c r="K15" s="68" t="s">
        <v>54</v>
      </c>
      <c r="L15" s="68">
        <v>0.32</v>
      </c>
      <c r="M15" s="68">
        <v>0.12</v>
      </c>
      <c r="N15" s="68">
        <f>M15^2</f>
        <v>1.44E-2</v>
      </c>
      <c r="O15" s="69" t="s">
        <v>30</v>
      </c>
      <c r="P15" s="70" t="s">
        <v>30</v>
      </c>
      <c r="S15" s="67" t="s">
        <v>32</v>
      </c>
      <c r="T15" s="68" t="s">
        <v>54</v>
      </c>
      <c r="U15" s="68">
        <v>0.14000000000000001</v>
      </c>
      <c r="V15" s="68">
        <v>0.28000000000000003</v>
      </c>
      <c r="W15" s="68">
        <f>V15^2</f>
        <v>7.8400000000000011E-2</v>
      </c>
      <c r="X15" s="69" t="s">
        <v>30</v>
      </c>
      <c r="Y15" s="70" t="s">
        <v>30</v>
      </c>
    </row>
    <row r="16" spans="1:25">
      <c r="A16" s="67" t="s">
        <v>32</v>
      </c>
      <c r="B16" s="68" t="s">
        <v>55</v>
      </c>
      <c r="C16" s="68">
        <v>0.19</v>
      </c>
      <c r="D16" s="68">
        <v>0.18</v>
      </c>
      <c r="E16" s="68">
        <f t="shared" ref="E16:E77" si="0">D16^2</f>
        <v>3.2399999999999998E-2</v>
      </c>
      <c r="F16" s="69" t="s">
        <v>30</v>
      </c>
      <c r="G16" s="70" t="s">
        <v>30</v>
      </c>
      <c r="J16" s="67" t="s">
        <v>32</v>
      </c>
      <c r="K16" s="68" t="s">
        <v>55</v>
      </c>
      <c r="L16" s="68">
        <v>0.32</v>
      </c>
      <c r="M16" s="68">
        <v>0.11</v>
      </c>
      <c r="N16" s="68">
        <f t="shared" ref="N16:N79" si="1">M16^2</f>
        <v>1.21E-2</v>
      </c>
      <c r="O16" s="69" t="s">
        <v>30</v>
      </c>
      <c r="P16" s="70" t="s">
        <v>30</v>
      </c>
      <c r="S16" s="67" t="s">
        <v>32</v>
      </c>
      <c r="T16" s="68" t="s">
        <v>55</v>
      </c>
      <c r="U16" s="68">
        <v>0.14000000000000001</v>
      </c>
      <c r="V16" s="68">
        <v>0.3</v>
      </c>
      <c r="W16" s="68">
        <f t="shared" ref="W16:W77" si="2">V16^2</f>
        <v>0.09</v>
      </c>
      <c r="X16" s="69" t="s">
        <v>30</v>
      </c>
      <c r="Y16" s="70" t="s">
        <v>30</v>
      </c>
    </row>
    <row r="17" spans="1:25">
      <c r="A17" s="67" t="s">
        <v>32</v>
      </c>
      <c r="B17" s="68" t="s">
        <v>56</v>
      </c>
      <c r="C17" s="68">
        <v>0.19</v>
      </c>
      <c r="D17" s="68">
        <v>0.2</v>
      </c>
      <c r="E17" s="68">
        <f t="shared" si="0"/>
        <v>4.0000000000000008E-2</v>
      </c>
      <c r="F17" s="69" t="s">
        <v>30</v>
      </c>
      <c r="G17" s="70" t="s">
        <v>30</v>
      </c>
      <c r="J17" s="67" t="s">
        <v>32</v>
      </c>
      <c r="K17" s="68" t="s">
        <v>56</v>
      </c>
      <c r="L17" s="68">
        <v>0.32</v>
      </c>
      <c r="M17" s="68">
        <v>0.12</v>
      </c>
      <c r="N17" s="68">
        <f t="shared" si="1"/>
        <v>1.44E-2</v>
      </c>
      <c r="O17" s="69" t="s">
        <v>30</v>
      </c>
      <c r="P17" s="70" t="s">
        <v>30</v>
      </c>
      <c r="S17" s="67" t="s">
        <v>32</v>
      </c>
      <c r="T17" s="68" t="s">
        <v>56</v>
      </c>
      <c r="U17" s="68">
        <v>0.14000000000000001</v>
      </c>
      <c r="V17" s="68">
        <v>0.35</v>
      </c>
      <c r="W17" s="68">
        <f t="shared" si="2"/>
        <v>0.12249999999999998</v>
      </c>
      <c r="X17" s="69" t="s">
        <v>30</v>
      </c>
      <c r="Y17" s="70" t="s">
        <v>30</v>
      </c>
    </row>
    <row r="18" spans="1:25">
      <c r="A18" s="5" t="s">
        <v>32</v>
      </c>
      <c r="B18" s="3" t="s">
        <v>53</v>
      </c>
      <c r="C18" s="3">
        <v>0.13</v>
      </c>
      <c r="D18" s="3">
        <v>0.22</v>
      </c>
      <c r="E18" s="82">
        <f t="shared" si="0"/>
        <v>4.8399999999999999E-2</v>
      </c>
      <c r="F18" s="35" t="s">
        <v>30</v>
      </c>
      <c r="G18" s="52" t="s">
        <v>30</v>
      </c>
      <c r="J18" s="81" t="s">
        <v>32</v>
      </c>
      <c r="K18" s="82" t="s">
        <v>53</v>
      </c>
      <c r="L18" s="82">
        <v>0.25</v>
      </c>
      <c r="M18" s="82">
        <v>0.11</v>
      </c>
      <c r="N18" s="82">
        <f t="shared" si="1"/>
        <v>1.21E-2</v>
      </c>
      <c r="O18" s="83" t="s">
        <v>30</v>
      </c>
      <c r="P18" s="84" t="s">
        <v>30</v>
      </c>
      <c r="S18" s="81" t="s">
        <v>32</v>
      </c>
      <c r="T18" s="82" t="s">
        <v>53</v>
      </c>
      <c r="U18" s="82">
        <v>0.1</v>
      </c>
      <c r="V18" s="82">
        <v>0.34</v>
      </c>
      <c r="W18" s="82">
        <f t="shared" si="2"/>
        <v>0.11560000000000002</v>
      </c>
      <c r="X18" s="83" t="s">
        <v>30</v>
      </c>
      <c r="Y18" s="84" t="s">
        <v>30</v>
      </c>
    </row>
    <row r="19" spans="1:25">
      <c r="A19" s="5" t="s">
        <v>32</v>
      </c>
      <c r="B19" s="3" t="s">
        <v>54</v>
      </c>
      <c r="C19" s="3">
        <v>0.13</v>
      </c>
      <c r="D19" s="3">
        <v>0.15</v>
      </c>
      <c r="E19" s="82">
        <f t="shared" si="0"/>
        <v>2.2499999999999999E-2</v>
      </c>
      <c r="F19" s="35" t="s">
        <v>30</v>
      </c>
      <c r="G19" s="52" t="s">
        <v>30</v>
      </c>
      <c r="J19" s="81" t="s">
        <v>32</v>
      </c>
      <c r="K19" s="82" t="s">
        <v>54</v>
      </c>
      <c r="L19" s="82">
        <v>0.25</v>
      </c>
      <c r="M19" s="82">
        <v>0.1</v>
      </c>
      <c r="N19" s="82">
        <f t="shared" si="1"/>
        <v>1.0000000000000002E-2</v>
      </c>
      <c r="O19" s="83" t="s">
        <v>30</v>
      </c>
      <c r="P19" s="84" t="s">
        <v>30</v>
      </c>
      <c r="S19" s="81" t="s">
        <v>32</v>
      </c>
      <c r="T19" s="82" t="s">
        <v>54</v>
      </c>
      <c r="U19" s="82">
        <v>0.1</v>
      </c>
      <c r="V19" s="82">
        <v>0.28999999999999998</v>
      </c>
      <c r="W19" s="82">
        <f t="shared" si="2"/>
        <v>8.4099999999999994E-2</v>
      </c>
      <c r="X19" s="83" t="s">
        <v>30</v>
      </c>
      <c r="Y19" s="84" t="s">
        <v>30</v>
      </c>
    </row>
    <row r="20" spans="1:25">
      <c r="A20" s="81" t="s">
        <v>32</v>
      </c>
      <c r="B20" s="82" t="s">
        <v>55</v>
      </c>
      <c r="C20" s="82">
        <v>0.13</v>
      </c>
      <c r="D20" s="82">
        <v>0.13</v>
      </c>
      <c r="E20" s="82">
        <f t="shared" si="0"/>
        <v>1.6900000000000002E-2</v>
      </c>
      <c r="F20" s="83" t="s">
        <v>30</v>
      </c>
      <c r="G20" s="84" t="s">
        <v>30</v>
      </c>
      <c r="J20" s="81" t="s">
        <v>32</v>
      </c>
      <c r="K20" s="82" t="s">
        <v>55</v>
      </c>
      <c r="L20" s="82">
        <v>0.25</v>
      </c>
      <c r="M20" s="82">
        <v>0.08</v>
      </c>
      <c r="N20" s="82">
        <f t="shared" si="1"/>
        <v>6.4000000000000003E-3</v>
      </c>
      <c r="O20" s="83" t="s">
        <v>30</v>
      </c>
      <c r="P20" s="84" t="s">
        <v>30</v>
      </c>
      <c r="S20" s="81" t="s">
        <v>32</v>
      </c>
      <c r="T20" s="82" t="s">
        <v>55</v>
      </c>
      <c r="U20" s="82">
        <v>0.1</v>
      </c>
      <c r="V20" s="82">
        <v>0.25</v>
      </c>
      <c r="W20" s="82">
        <f t="shared" si="2"/>
        <v>6.25E-2</v>
      </c>
      <c r="X20" s="83" t="s">
        <v>30</v>
      </c>
      <c r="Y20" s="84" t="s">
        <v>30</v>
      </c>
    </row>
    <row r="21" spans="1:25">
      <c r="A21" s="81" t="s">
        <v>32</v>
      </c>
      <c r="B21" s="82" t="s">
        <v>56</v>
      </c>
      <c r="C21" s="82">
        <v>0.13</v>
      </c>
      <c r="D21" s="82">
        <v>0.17</v>
      </c>
      <c r="E21" s="82">
        <f t="shared" si="0"/>
        <v>2.8900000000000006E-2</v>
      </c>
      <c r="F21" s="83" t="s">
        <v>30</v>
      </c>
      <c r="G21" s="84" t="s">
        <v>30</v>
      </c>
      <c r="J21" s="81" t="s">
        <v>32</v>
      </c>
      <c r="K21" s="82" t="s">
        <v>56</v>
      </c>
      <c r="L21" s="82">
        <v>0.25</v>
      </c>
      <c r="M21" s="82">
        <v>0.1</v>
      </c>
      <c r="N21" s="82">
        <f t="shared" si="1"/>
        <v>1.0000000000000002E-2</v>
      </c>
      <c r="O21" s="83" t="s">
        <v>30</v>
      </c>
      <c r="P21" s="84" t="s">
        <v>30</v>
      </c>
      <c r="S21" s="81" t="s">
        <v>32</v>
      </c>
      <c r="T21" s="82" t="s">
        <v>56</v>
      </c>
      <c r="U21" s="82">
        <v>0.1</v>
      </c>
      <c r="V21" s="82">
        <v>0.3</v>
      </c>
      <c r="W21" s="82">
        <f t="shared" si="2"/>
        <v>0.09</v>
      </c>
      <c r="X21" s="83" t="s">
        <v>30</v>
      </c>
      <c r="Y21" s="84" t="s">
        <v>30</v>
      </c>
    </row>
    <row r="22" spans="1:25">
      <c r="A22" s="67" t="s">
        <v>32</v>
      </c>
      <c r="B22" s="68" t="s">
        <v>53</v>
      </c>
      <c r="C22" s="68">
        <v>0.08</v>
      </c>
      <c r="D22" s="68">
        <v>0.21</v>
      </c>
      <c r="E22" s="68">
        <f t="shared" si="0"/>
        <v>4.4099999999999993E-2</v>
      </c>
      <c r="F22" s="69" t="s">
        <v>30</v>
      </c>
      <c r="G22" s="70" t="s">
        <v>30</v>
      </c>
      <c r="J22" s="67" t="s">
        <v>32</v>
      </c>
      <c r="K22" s="68" t="s">
        <v>53</v>
      </c>
      <c r="L22" s="68">
        <v>0.18</v>
      </c>
      <c r="M22" s="68">
        <v>0.12</v>
      </c>
      <c r="N22" s="68">
        <f t="shared" si="1"/>
        <v>1.44E-2</v>
      </c>
      <c r="O22" s="69" t="s">
        <v>30</v>
      </c>
      <c r="P22" s="70" t="s">
        <v>30</v>
      </c>
      <c r="S22" s="67" t="s">
        <v>32</v>
      </c>
      <c r="T22" s="68" t="s">
        <v>53</v>
      </c>
      <c r="U22" s="68">
        <v>7.0000000000000007E-2</v>
      </c>
      <c r="V22" s="68">
        <v>0.33</v>
      </c>
      <c r="W22" s="68">
        <f t="shared" si="2"/>
        <v>0.10890000000000001</v>
      </c>
      <c r="X22" s="69" t="s">
        <v>30</v>
      </c>
      <c r="Y22" s="70" t="s">
        <v>30</v>
      </c>
    </row>
    <row r="23" spans="1:25">
      <c r="A23" s="67" t="s">
        <v>32</v>
      </c>
      <c r="B23" s="68" t="s">
        <v>54</v>
      </c>
      <c r="C23" s="68">
        <v>0.08</v>
      </c>
      <c r="D23" s="68">
        <v>0.16</v>
      </c>
      <c r="E23" s="68">
        <f t="shared" si="0"/>
        <v>2.5600000000000001E-2</v>
      </c>
      <c r="F23" s="69" t="s">
        <v>30</v>
      </c>
      <c r="G23" s="70" t="s">
        <v>30</v>
      </c>
      <c r="J23" s="67" t="s">
        <v>32</v>
      </c>
      <c r="K23" s="68" t="s">
        <v>54</v>
      </c>
      <c r="L23" s="68">
        <v>0.18</v>
      </c>
      <c r="M23" s="68">
        <v>0.1</v>
      </c>
      <c r="N23" s="68">
        <f t="shared" si="1"/>
        <v>1.0000000000000002E-2</v>
      </c>
      <c r="O23" s="69" t="s">
        <v>30</v>
      </c>
      <c r="P23" s="70" t="s">
        <v>30</v>
      </c>
      <c r="S23" s="67" t="s">
        <v>32</v>
      </c>
      <c r="T23" s="68" t="s">
        <v>54</v>
      </c>
      <c r="U23" s="68">
        <v>7.0000000000000007E-2</v>
      </c>
      <c r="V23" s="68">
        <v>0.28000000000000003</v>
      </c>
      <c r="W23" s="68">
        <f t="shared" si="2"/>
        <v>7.8400000000000011E-2</v>
      </c>
      <c r="X23" s="69" t="s">
        <v>30</v>
      </c>
      <c r="Y23" s="70" t="s">
        <v>30</v>
      </c>
    </row>
    <row r="24" spans="1:25">
      <c r="A24" s="67" t="s">
        <v>32</v>
      </c>
      <c r="B24" s="68" t="s">
        <v>55</v>
      </c>
      <c r="C24" s="68">
        <v>0.08</v>
      </c>
      <c r="D24" s="68">
        <v>0.14000000000000001</v>
      </c>
      <c r="E24" s="68">
        <f t="shared" si="0"/>
        <v>1.9600000000000003E-2</v>
      </c>
      <c r="F24" s="69" t="s">
        <v>30</v>
      </c>
      <c r="G24" s="70" t="s">
        <v>30</v>
      </c>
      <c r="J24" s="67" t="s">
        <v>32</v>
      </c>
      <c r="K24" s="68" t="s">
        <v>55</v>
      </c>
      <c r="L24" s="68">
        <v>0.18</v>
      </c>
      <c r="M24" s="68">
        <v>0.09</v>
      </c>
      <c r="N24" s="68">
        <f t="shared" si="1"/>
        <v>8.0999999999999996E-3</v>
      </c>
      <c r="O24" s="69" t="s">
        <v>30</v>
      </c>
      <c r="P24" s="70" t="s">
        <v>30</v>
      </c>
      <c r="S24" s="67" t="s">
        <v>32</v>
      </c>
      <c r="T24" s="68" t="s">
        <v>55</v>
      </c>
      <c r="U24" s="68">
        <v>7.0000000000000007E-2</v>
      </c>
      <c r="V24" s="68">
        <v>0.22</v>
      </c>
      <c r="W24" s="68">
        <f t="shared" si="2"/>
        <v>4.8399999999999999E-2</v>
      </c>
      <c r="X24" s="69" t="s">
        <v>30</v>
      </c>
      <c r="Y24" s="70" t="s">
        <v>30</v>
      </c>
    </row>
    <row r="25" spans="1:25">
      <c r="A25" s="67" t="s">
        <v>32</v>
      </c>
      <c r="B25" s="68" t="s">
        <v>56</v>
      </c>
      <c r="C25" s="68">
        <v>0.08</v>
      </c>
      <c r="D25" s="68">
        <v>0.17</v>
      </c>
      <c r="E25" s="68">
        <f t="shared" si="0"/>
        <v>2.8900000000000006E-2</v>
      </c>
      <c r="F25" s="69" t="s">
        <v>30</v>
      </c>
      <c r="G25" s="70" t="s">
        <v>30</v>
      </c>
      <c r="J25" s="67" t="s">
        <v>32</v>
      </c>
      <c r="K25" s="68" t="s">
        <v>56</v>
      </c>
      <c r="L25" s="68">
        <v>0.18</v>
      </c>
      <c r="M25" s="68">
        <v>0.1</v>
      </c>
      <c r="N25" s="68">
        <f t="shared" si="1"/>
        <v>1.0000000000000002E-2</v>
      </c>
      <c r="O25" s="69" t="s">
        <v>30</v>
      </c>
      <c r="P25" s="70" t="s">
        <v>30</v>
      </c>
      <c r="S25" s="67" t="s">
        <v>32</v>
      </c>
      <c r="T25" s="68" t="s">
        <v>56</v>
      </c>
      <c r="U25" s="68">
        <v>7.0000000000000007E-2</v>
      </c>
      <c r="V25" s="68">
        <v>0.25</v>
      </c>
      <c r="W25" s="68">
        <f t="shared" si="2"/>
        <v>6.25E-2</v>
      </c>
      <c r="X25" s="69" t="s">
        <v>30</v>
      </c>
      <c r="Y25" s="70" t="s">
        <v>30</v>
      </c>
    </row>
    <row r="26" spans="1:25">
      <c r="A26" s="81" t="s">
        <v>32</v>
      </c>
      <c r="B26" s="82" t="s">
        <v>53</v>
      </c>
      <c r="C26" s="82">
        <v>0.04</v>
      </c>
      <c r="D26" s="118">
        <v>0.19</v>
      </c>
      <c r="E26" s="82">
        <f t="shared" si="0"/>
        <v>3.61E-2</v>
      </c>
      <c r="F26" s="83" t="s">
        <v>30</v>
      </c>
      <c r="G26" s="84" t="s">
        <v>30</v>
      </c>
      <c r="J26" s="81" t="s">
        <v>32</v>
      </c>
      <c r="K26" s="82" t="s">
        <v>53</v>
      </c>
      <c r="L26" s="82">
        <v>0.11</v>
      </c>
      <c r="M26" s="82">
        <v>0.1</v>
      </c>
      <c r="N26" s="82">
        <f t="shared" si="1"/>
        <v>1.0000000000000002E-2</v>
      </c>
      <c r="O26" s="83" t="s">
        <v>30</v>
      </c>
      <c r="P26" s="84" t="s">
        <v>30</v>
      </c>
      <c r="S26" s="81" t="s">
        <v>32</v>
      </c>
      <c r="T26" s="82" t="s">
        <v>53</v>
      </c>
      <c r="U26" s="82">
        <v>0.04</v>
      </c>
      <c r="V26" s="82">
        <v>0.31</v>
      </c>
      <c r="W26" s="82">
        <f t="shared" si="2"/>
        <v>9.6100000000000005E-2</v>
      </c>
      <c r="X26" s="83" t="s">
        <v>30</v>
      </c>
      <c r="Y26" s="84" t="s">
        <v>30</v>
      </c>
    </row>
    <row r="27" spans="1:25">
      <c r="A27" s="81" t="s">
        <v>32</v>
      </c>
      <c r="B27" s="82" t="s">
        <v>54</v>
      </c>
      <c r="C27" s="82">
        <v>0.04</v>
      </c>
      <c r="D27" s="82">
        <v>0.17</v>
      </c>
      <c r="E27" s="82">
        <f t="shared" si="0"/>
        <v>2.8900000000000006E-2</v>
      </c>
      <c r="F27" s="83" t="s">
        <v>30</v>
      </c>
      <c r="G27" s="84" t="s">
        <v>30</v>
      </c>
      <c r="J27" s="81" t="s">
        <v>32</v>
      </c>
      <c r="K27" s="82" t="s">
        <v>54</v>
      </c>
      <c r="L27" s="82">
        <v>0.11</v>
      </c>
      <c r="M27" s="82">
        <v>0.1</v>
      </c>
      <c r="N27" s="82">
        <f t="shared" si="1"/>
        <v>1.0000000000000002E-2</v>
      </c>
      <c r="O27" s="83" t="s">
        <v>30</v>
      </c>
      <c r="P27" s="84" t="s">
        <v>30</v>
      </c>
      <c r="S27" s="81" t="s">
        <v>32</v>
      </c>
      <c r="T27" s="82" t="s">
        <v>54</v>
      </c>
      <c r="U27" s="82">
        <v>0.04</v>
      </c>
      <c r="V27" s="82">
        <v>0.27</v>
      </c>
      <c r="W27" s="82">
        <f t="shared" si="2"/>
        <v>7.2900000000000006E-2</v>
      </c>
      <c r="X27" s="83" t="s">
        <v>30</v>
      </c>
      <c r="Y27" s="84" t="s">
        <v>30</v>
      </c>
    </row>
    <row r="28" spans="1:25">
      <c r="A28" s="81" t="s">
        <v>32</v>
      </c>
      <c r="B28" s="82" t="s">
        <v>55</v>
      </c>
      <c r="C28" s="82">
        <v>0.04</v>
      </c>
      <c r="D28" s="82">
        <v>0.16</v>
      </c>
      <c r="E28" s="82">
        <f t="shared" si="0"/>
        <v>2.5600000000000001E-2</v>
      </c>
      <c r="F28" s="83" t="s">
        <v>30</v>
      </c>
      <c r="G28" s="84" t="s">
        <v>30</v>
      </c>
      <c r="J28" s="81" t="s">
        <v>32</v>
      </c>
      <c r="K28" s="82" t="s">
        <v>55</v>
      </c>
      <c r="L28" s="82">
        <v>0.11</v>
      </c>
      <c r="M28" s="82">
        <v>0.11</v>
      </c>
      <c r="N28" s="82">
        <f t="shared" si="1"/>
        <v>1.21E-2</v>
      </c>
      <c r="O28" s="83" t="s">
        <v>30</v>
      </c>
      <c r="P28" s="84" t="s">
        <v>30</v>
      </c>
      <c r="S28" s="81" t="s">
        <v>32</v>
      </c>
      <c r="T28" s="82" t="s">
        <v>55</v>
      </c>
      <c r="U28" s="82">
        <v>0.04</v>
      </c>
      <c r="V28" s="82">
        <v>0.21</v>
      </c>
      <c r="W28" s="82">
        <f t="shared" si="2"/>
        <v>4.4099999999999993E-2</v>
      </c>
      <c r="X28" s="83" t="s">
        <v>30</v>
      </c>
      <c r="Y28" s="84" t="s">
        <v>30</v>
      </c>
    </row>
    <row r="29" spans="1:25" ht="15.75" thickBot="1">
      <c r="A29" s="85" t="s">
        <v>32</v>
      </c>
      <c r="B29" s="86" t="s">
        <v>56</v>
      </c>
      <c r="C29" s="86">
        <v>0.04</v>
      </c>
      <c r="D29" s="86">
        <v>0.16</v>
      </c>
      <c r="E29" s="86">
        <f t="shared" si="0"/>
        <v>2.5600000000000001E-2</v>
      </c>
      <c r="F29" s="77">
        <f>AVERAGE(D14:D29)</f>
        <v>0.17499999999999999</v>
      </c>
      <c r="G29" s="78">
        <f>F29*B8*0.3048^2</f>
        <v>1.1558444625000001E-2</v>
      </c>
      <c r="J29" s="81" t="s">
        <v>32</v>
      </c>
      <c r="K29" s="82" t="s">
        <v>56</v>
      </c>
      <c r="L29" s="82">
        <v>0.11</v>
      </c>
      <c r="M29" s="82">
        <v>0.1</v>
      </c>
      <c r="N29" s="82">
        <f t="shared" si="1"/>
        <v>1.0000000000000002E-2</v>
      </c>
      <c r="O29" s="83" t="s">
        <v>30</v>
      </c>
      <c r="P29" s="84" t="s">
        <v>30</v>
      </c>
      <c r="S29" s="85" t="s">
        <v>32</v>
      </c>
      <c r="T29" s="86" t="s">
        <v>56</v>
      </c>
      <c r="U29" s="86">
        <v>0.04</v>
      </c>
      <c r="V29" s="86">
        <v>0.24</v>
      </c>
      <c r="W29" s="86">
        <f t="shared" si="2"/>
        <v>5.7599999999999998E-2</v>
      </c>
      <c r="X29" s="77">
        <f>AVERAGE(V14:V29)</f>
        <v>0.28312500000000002</v>
      </c>
      <c r="Y29" s="78">
        <f>X29*R8*0.3048^2</f>
        <v>1.3014590906250002E-2</v>
      </c>
    </row>
    <row r="30" spans="1:25">
      <c r="A30" s="71" t="s">
        <v>17</v>
      </c>
      <c r="B30" s="72" t="s">
        <v>53</v>
      </c>
      <c r="C30" s="72">
        <v>0.19</v>
      </c>
      <c r="D30" s="72">
        <v>0.2</v>
      </c>
      <c r="E30" s="72">
        <f t="shared" si="0"/>
        <v>4.0000000000000008E-2</v>
      </c>
      <c r="F30" s="73" t="s">
        <v>30</v>
      </c>
      <c r="G30" s="74" t="s">
        <v>30</v>
      </c>
      <c r="J30" s="67" t="s">
        <v>32</v>
      </c>
      <c r="K30" s="68" t="s">
        <v>53</v>
      </c>
      <c r="L30" s="68">
        <v>0.04</v>
      </c>
      <c r="M30" s="68">
        <v>0.09</v>
      </c>
      <c r="N30" s="68">
        <f t="shared" si="1"/>
        <v>8.0999999999999996E-3</v>
      </c>
      <c r="O30" s="69" t="s">
        <v>30</v>
      </c>
      <c r="P30" s="70" t="s">
        <v>30</v>
      </c>
      <c r="S30" s="63" t="s">
        <v>17</v>
      </c>
      <c r="T30" s="64" t="s">
        <v>53</v>
      </c>
      <c r="U30" s="64">
        <v>0.14000000000000001</v>
      </c>
      <c r="V30" s="64">
        <v>0.28000000000000003</v>
      </c>
      <c r="W30" s="64">
        <f t="shared" si="2"/>
        <v>7.8400000000000011E-2</v>
      </c>
      <c r="X30" s="65" t="s">
        <v>30</v>
      </c>
      <c r="Y30" s="66" t="s">
        <v>30</v>
      </c>
    </row>
    <row r="31" spans="1:25">
      <c r="A31" s="67" t="s">
        <v>17</v>
      </c>
      <c r="B31" s="68" t="s">
        <v>54</v>
      </c>
      <c r="C31" s="68">
        <v>0.19</v>
      </c>
      <c r="D31" s="68">
        <v>0.19</v>
      </c>
      <c r="E31" s="68">
        <f t="shared" si="0"/>
        <v>3.61E-2</v>
      </c>
      <c r="F31" s="69" t="s">
        <v>30</v>
      </c>
      <c r="G31" s="70" t="s">
        <v>30</v>
      </c>
      <c r="J31" s="67" t="s">
        <v>32</v>
      </c>
      <c r="K31" s="68" t="s">
        <v>54</v>
      </c>
      <c r="L31" s="68">
        <v>0.04</v>
      </c>
      <c r="M31" s="68">
        <v>0.09</v>
      </c>
      <c r="N31" s="68">
        <f t="shared" si="1"/>
        <v>8.0999999999999996E-3</v>
      </c>
      <c r="O31" s="69" t="s">
        <v>30</v>
      </c>
      <c r="P31" s="70" t="s">
        <v>30</v>
      </c>
      <c r="S31" s="67" t="s">
        <v>17</v>
      </c>
      <c r="T31" s="68" t="s">
        <v>54</v>
      </c>
      <c r="U31" s="68">
        <v>0.14000000000000001</v>
      </c>
      <c r="V31" s="68">
        <v>0.26</v>
      </c>
      <c r="W31" s="68">
        <f t="shared" si="2"/>
        <v>6.7600000000000007E-2</v>
      </c>
      <c r="X31" s="69" t="s">
        <v>30</v>
      </c>
      <c r="Y31" s="70" t="s">
        <v>30</v>
      </c>
    </row>
    <row r="32" spans="1:25">
      <c r="A32" s="67" t="s">
        <v>17</v>
      </c>
      <c r="B32" s="68" t="s">
        <v>55</v>
      </c>
      <c r="C32" s="68">
        <v>0.19</v>
      </c>
      <c r="D32" s="68">
        <v>0.2</v>
      </c>
      <c r="E32" s="68">
        <f t="shared" si="0"/>
        <v>4.0000000000000008E-2</v>
      </c>
      <c r="F32" s="69" t="s">
        <v>30</v>
      </c>
      <c r="G32" s="70" t="s">
        <v>30</v>
      </c>
      <c r="J32" s="67" t="s">
        <v>32</v>
      </c>
      <c r="K32" s="68" t="s">
        <v>55</v>
      </c>
      <c r="L32" s="68">
        <v>0.04</v>
      </c>
      <c r="M32" s="68">
        <v>0.11</v>
      </c>
      <c r="N32" s="68">
        <f t="shared" si="1"/>
        <v>1.21E-2</v>
      </c>
      <c r="O32" s="69" t="s">
        <v>30</v>
      </c>
      <c r="P32" s="70" t="s">
        <v>30</v>
      </c>
      <c r="S32" s="67" t="s">
        <v>17</v>
      </c>
      <c r="T32" s="68" t="s">
        <v>55</v>
      </c>
      <c r="U32" s="68">
        <v>0.14000000000000001</v>
      </c>
      <c r="V32" s="68">
        <v>0.32</v>
      </c>
      <c r="W32" s="68">
        <f t="shared" si="2"/>
        <v>0.1024</v>
      </c>
      <c r="X32" s="69" t="s">
        <v>30</v>
      </c>
      <c r="Y32" s="70" t="s">
        <v>30</v>
      </c>
    </row>
    <row r="33" spans="1:25" ht="15.75" thickBot="1">
      <c r="A33" s="67" t="s">
        <v>17</v>
      </c>
      <c r="B33" s="68" t="s">
        <v>56</v>
      </c>
      <c r="C33" s="68">
        <v>0.19</v>
      </c>
      <c r="D33" s="68">
        <v>0.2</v>
      </c>
      <c r="E33" s="68">
        <f t="shared" si="0"/>
        <v>4.0000000000000008E-2</v>
      </c>
      <c r="F33" s="69" t="s">
        <v>30</v>
      </c>
      <c r="G33" s="70" t="s">
        <v>30</v>
      </c>
      <c r="J33" s="79" t="s">
        <v>32</v>
      </c>
      <c r="K33" s="80" t="s">
        <v>56</v>
      </c>
      <c r="L33" s="80">
        <v>0.04</v>
      </c>
      <c r="M33" s="80">
        <v>0.12</v>
      </c>
      <c r="N33" s="80">
        <f t="shared" si="1"/>
        <v>1.44E-2</v>
      </c>
      <c r="O33" s="77">
        <f>AVERAGE(M14:M33)</f>
        <v>0.10400000000000002</v>
      </c>
      <c r="P33" s="78">
        <f>O33*$J$8*0.3048^2</f>
        <v>1.1121268080000003E-2</v>
      </c>
      <c r="S33" s="67" t="s">
        <v>17</v>
      </c>
      <c r="T33" s="68" t="s">
        <v>56</v>
      </c>
      <c r="U33" s="68">
        <v>0.14000000000000001</v>
      </c>
      <c r="V33" s="68">
        <v>0.32</v>
      </c>
      <c r="W33" s="68">
        <f t="shared" si="2"/>
        <v>0.1024</v>
      </c>
      <c r="X33" s="69" t="s">
        <v>30</v>
      </c>
      <c r="Y33" s="70" t="s">
        <v>30</v>
      </c>
    </row>
    <row r="34" spans="1:25">
      <c r="A34" s="81" t="s">
        <v>17</v>
      </c>
      <c r="B34" s="82" t="s">
        <v>53</v>
      </c>
      <c r="C34" s="82">
        <v>0.13</v>
      </c>
      <c r="D34" s="82">
        <v>0.21</v>
      </c>
      <c r="E34" s="82">
        <f t="shared" si="0"/>
        <v>4.4099999999999993E-2</v>
      </c>
      <c r="F34" s="83" t="s">
        <v>30</v>
      </c>
      <c r="G34" s="84" t="s">
        <v>30</v>
      </c>
      <c r="J34" s="119" t="s">
        <v>17</v>
      </c>
      <c r="K34" s="104" t="s">
        <v>53</v>
      </c>
      <c r="L34" s="104">
        <v>0.32</v>
      </c>
      <c r="M34" s="104">
        <v>0.11</v>
      </c>
      <c r="N34" s="104">
        <f t="shared" si="1"/>
        <v>1.21E-2</v>
      </c>
      <c r="O34" s="120" t="s">
        <v>30</v>
      </c>
      <c r="P34" s="121" t="s">
        <v>30</v>
      </c>
      <c r="S34" s="81" t="s">
        <v>17</v>
      </c>
      <c r="T34" s="82" t="s">
        <v>53</v>
      </c>
      <c r="U34" s="82">
        <v>0.1</v>
      </c>
      <c r="V34" s="82">
        <v>0.32</v>
      </c>
      <c r="W34" s="82">
        <f t="shared" si="2"/>
        <v>0.1024</v>
      </c>
      <c r="X34" s="83" t="s">
        <v>30</v>
      </c>
      <c r="Y34" s="84" t="s">
        <v>30</v>
      </c>
    </row>
    <row r="35" spans="1:25">
      <c r="A35" s="81" t="s">
        <v>17</v>
      </c>
      <c r="B35" s="82" t="s">
        <v>54</v>
      </c>
      <c r="C35" s="82">
        <v>0.13</v>
      </c>
      <c r="D35" s="82">
        <v>0.17</v>
      </c>
      <c r="E35" s="82">
        <f t="shared" si="0"/>
        <v>2.8900000000000006E-2</v>
      </c>
      <c r="F35" s="83" t="s">
        <v>30</v>
      </c>
      <c r="G35" s="84" t="s">
        <v>30</v>
      </c>
      <c r="J35" s="81" t="s">
        <v>17</v>
      </c>
      <c r="K35" s="82" t="s">
        <v>54</v>
      </c>
      <c r="L35" s="82">
        <v>0.32</v>
      </c>
      <c r="M35" s="82">
        <v>0.09</v>
      </c>
      <c r="N35" s="82">
        <f t="shared" si="1"/>
        <v>8.0999999999999996E-3</v>
      </c>
      <c r="O35" s="83" t="s">
        <v>30</v>
      </c>
      <c r="P35" s="84" t="s">
        <v>30</v>
      </c>
      <c r="S35" s="81" t="s">
        <v>17</v>
      </c>
      <c r="T35" s="82" t="s">
        <v>54</v>
      </c>
      <c r="U35" s="82">
        <v>0.1</v>
      </c>
      <c r="V35" s="82">
        <v>0.27</v>
      </c>
      <c r="W35" s="82">
        <f t="shared" si="2"/>
        <v>7.2900000000000006E-2</v>
      </c>
      <c r="X35" s="83" t="s">
        <v>30</v>
      </c>
      <c r="Y35" s="84" t="s">
        <v>30</v>
      </c>
    </row>
    <row r="36" spans="1:25">
      <c r="A36" s="81" t="s">
        <v>17</v>
      </c>
      <c r="B36" s="82" t="s">
        <v>55</v>
      </c>
      <c r="C36" s="82">
        <v>0.13</v>
      </c>
      <c r="D36" s="82">
        <v>0.16</v>
      </c>
      <c r="E36" s="82">
        <f t="shared" si="0"/>
        <v>2.5600000000000001E-2</v>
      </c>
      <c r="F36" s="83" t="s">
        <v>30</v>
      </c>
      <c r="G36" s="84" t="s">
        <v>30</v>
      </c>
      <c r="J36" s="81" t="s">
        <v>17</v>
      </c>
      <c r="K36" s="82" t="s">
        <v>55</v>
      </c>
      <c r="L36" s="82">
        <v>0.32</v>
      </c>
      <c r="M36" s="82">
        <v>0.1</v>
      </c>
      <c r="N36" s="82">
        <f t="shared" si="1"/>
        <v>1.0000000000000002E-2</v>
      </c>
      <c r="O36" s="83" t="s">
        <v>30</v>
      </c>
      <c r="P36" s="84" t="s">
        <v>30</v>
      </c>
      <c r="S36" s="81" t="s">
        <v>17</v>
      </c>
      <c r="T36" s="82" t="s">
        <v>55</v>
      </c>
      <c r="U36" s="82">
        <v>0.1</v>
      </c>
      <c r="V36" s="82">
        <v>0.26</v>
      </c>
      <c r="W36" s="82">
        <f t="shared" si="2"/>
        <v>6.7600000000000007E-2</v>
      </c>
      <c r="X36" s="83" t="s">
        <v>30</v>
      </c>
      <c r="Y36" s="84" t="s">
        <v>30</v>
      </c>
    </row>
    <row r="37" spans="1:25">
      <c r="A37" s="81" t="s">
        <v>17</v>
      </c>
      <c r="B37" s="82" t="s">
        <v>56</v>
      </c>
      <c r="C37" s="82">
        <v>0.13</v>
      </c>
      <c r="D37" s="82">
        <v>0.15</v>
      </c>
      <c r="E37" s="82">
        <f t="shared" si="0"/>
        <v>2.2499999999999999E-2</v>
      </c>
      <c r="F37" s="83" t="s">
        <v>30</v>
      </c>
      <c r="G37" s="84" t="s">
        <v>30</v>
      </c>
      <c r="J37" s="81" t="s">
        <v>17</v>
      </c>
      <c r="K37" s="82" t="s">
        <v>56</v>
      </c>
      <c r="L37" s="82">
        <v>0.32</v>
      </c>
      <c r="M37" s="82">
        <v>0.12</v>
      </c>
      <c r="N37" s="82">
        <f t="shared" si="1"/>
        <v>1.44E-2</v>
      </c>
      <c r="O37" s="83" t="s">
        <v>30</v>
      </c>
      <c r="P37" s="84" t="s">
        <v>30</v>
      </c>
      <c r="S37" s="81" t="s">
        <v>17</v>
      </c>
      <c r="T37" s="82" t="s">
        <v>56</v>
      </c>
      <c r="U37" s="82">
        <v>0.1</v>
      </c>
      <c r="V37" s="82">
        <v>0.27</v>
      </c>
      <c r="W37" s="82">
        <f t="shared" si="2"/>
        <v>7.2900000000000006E-2</v>
      </c>
      <c r="X37" s="83" t="s">
        <v>30</v>
      </c>
      <c r="Y37" s="84" t="s">
        <v>30</v>
      </c>
    </row>
    <row r="38" spans="1:25">
      <c r="A38" s="67" t="s">
        <v>17</v>
      </c>
      <c r="B38" s="68" t="s">
        <v>53</v>
      </c>
      <c r="C38" s="68">
        <v>0.08</v>
      </c>
      <c r="D38" s="68">
        <v>0.2</v>
      </c>
      <c r="E38" s="68">
        <f t="shared" si="0"/>
        <v>4.0000000000000008E-2</v>
      </c>
      <c r="F38" s="69" t="s">
        <v>30</v>
      </c>
      <c r="G38" s="70" t="s">
        <v>30</v>
      </c>
      <c r="J38" s="67" t="s">
        <v>17</v>
      </c>
      <c r="K38" s="68" t="s">
        <v>53</v>
      </c>
      <c r="L38" s="68">
        <v>0.25</v>
      </c>
      <c r="M38" s="68">
        <v>0.11</v>
      </c>
      <c r="N38" s="68">
        <f t="shared" si="1"/>
        <v>1.21E-2</v>
      </c>
      <c r="O38" s="69" t="s">
        <v>30</v>
      </c>
      <c r="P38" s="70" t="s">
        <v>30</v>
      </c>
      <c r="S38" s="67" t="s">
        <v>17</v>
      </c>
      <c r="T38" s="68" t="s">
        <v>53</v>
      </c>
      <c r="U38" s="68">
        <v>7.0000000000000007E-2</v>
      </c>
      <c r="V38" s="68">
        <v>0.31</v>
      </c>
      <c r="W38" s="68">
        <f t="shared" si="2"/>
        <v>9.6100000000000005E-2</v>
      </c>
      <c r="X38" s="69" t="s">
        <v>30</v>
      </c>
      <c r="Y38" s="70" t="s">
        <v>30</v>
      </c>
    </row>
    <row r="39" spans="1:25">
      <c r="A39" s="67" t="s">
        <v>17</v>
      </c>
      <c r="B39" s="68" t="s">
        <v>54</v>
      </c>
      <c r="C39" s="68">
        <v>0.08</v>
      </c>
      <c r="D39" s="68">
        <v>0.18</v>
      </c>
      <c r="E39" s="68">
        <f t="shared" si="0"/>
        <v>3.2399999999999998E-2</v>
      </c>
      <c r="F39" s="69" t="s">
        <v>30</v>
      </c>
      <c r="G39" s="70" t="s">
        <v>30</v>
      </c>
      <c r="J39" s="67" t="s">
        <v>17</v>
      </c>
      <c r="K39" s="68" t="s">
        <v>54</v>
      </c>
      <c r="L39" s="68">
        <v>0.25</v>
      </c>
      <c r="M39" s="68">
        <v>0.1</v>
      </c>
      <c r="N39" s="68">
        <f t="shared" si="1"/>
        <v>1.0000000000000002E-2</v>
      </c>
      <c r="O39" s="69" t="s">
        <v>30</v>
      </c>
      <c r="P39" s="70" t="s">
        <v>30</v>
      </c>
      <c r="S39" s="67" t="s">
        <v>17</v>
      </c>
      <c r="T39" s="68" t="s">
        <v>54</v>
      </c>
      <c r="U39" s="68">
        <v>7.0000000000000007E-2</v>
      </c>
      <c r="V39" s="68">
        <v>0.28999999999999998</v>
      </c>
      <c r="W39" s="68">
        <f t="shared" si="2"/>
        <v>8.4099999999999994E-2</v>
      </c>
      <c r="X39" s="69" t="s">
        <v>30</v>
      </c>
      <c r="Y39" s="70" t="s">
        <v>30</v>
      </c>
    </row>
    <row r="40" spans="1:25">
      <c r="A40" s="67" t="s">
        <v>17</v>
      </c>
      <c r="B40" s="68" t="s">
        <v>55</v>
      </c>
      <c r="C40" s="68">
        <v>0.08</v>
      </c>
      <c r="D40" s="68">
        <v>0.11</v>
      </c>
      <c r="E40" s="68">
        <f t="shared" si="0"/>
        <v>1.21E-2</v>
      </c>
      <c r="F40" s="69" t="s">
        <v>30</v>
      </c>
      <c r="G40" s="70" t="s">
        <v>30</v>
      </c>
      <c r="J40" s="67" t="s">
        <v>17</v>
      </c>
      <c r="K40" s="68" t="s">
        <v>55</v>
      </c>
      <c r="L40" s="68">
        <v>0.25</v>
      </c>
      <c r="M40" s="68">
        <v>0.08</v>
      </c>
      <c r="N40" s="68">
        <f t="shared" si="1"/>
        <v>6.4000000000000003E-3</v>
      </c>
      <c r="O40" s="69" t="s">
        <v>30</v>
      </c>
      <c r="P40" s="70" t="s">
        <v>30</v>
      </c>
      <c r="S40" s="67" t="s">
        <v>17</v>
      </c>
      <c r="T40" s="68" t="s">
        <v>55</v>
      </c>
      <c r="U40" s="68">
        <v>7.0000000000000007E-2</v>
      </c>
      <c r="V40" s="68">
        <v>0.22</v>
      </c>
      <c r="W40" s="68">
        <f t="shared" si="2"/>
        <v>4.8399999999999999E-2</v>
      </c>
      <c r="X40" s="69" t="s">
        <v>30</v>
      </c>
      <c r="Y40" s="70" t="s">
        <v>30</v>
      </c>
    </row>
    <row r="41" spans="1:25">
      <c r="A41" s="67" t="s">
        <v>17</v>
      </c>
      <c r="B41" s="68" t="s">
        <v>56</v>
      </c>
      <c r="C41" s="68">
        <v>0.08</v>
      </c>
      <c r="D41" s="68">
        <v>0.13</v>
      </c>
      <c r="E41" s="68">
        <f t="shared" si="0"/>
        <v>1.6900000000000002E-2</v>
      </c>
      <c r="F41" s="69" t="s">
        <v>30</v>
      </c>
      <c r="G41" s="70" t="s">
        <v>30</v>
      </c>
      <c r="J41" s="67" t="s">
        <v>17</v>
      </c>
      <c r="K41" s="68" t="s">
        <v>56</v>
      </c>
      <c r="L41" s="68">
        <v>0.25</v>
      </c>
      <c r="M41" s="68">
        <v>0.09</v>
      </c>
      <c r="N41" s="68">
        <f t="shared" si="1"/>
        <v>8.0999999999999996E-3</v>
      </c>
      <c r="O41" s="69" t="s">
        <v>30</v>
      </c>
      <c r="P41" s="70" t="s">
        <v>30</v>
      </c>
      <c r="S41" s="67" t="s">
        <v>17</v>
      </c>
      <c r="T41" s="68" t="s">
        <v>56</v>
      </c>
      <c r="U41" s="68">
        <v>7.0000000000000007E-2</v>
      </c>
      <c r="V41" s="68">
        <v>0.24</v>
      </c>
      <c r="W41" s="68">
        <f t="shared" si="2"/>
        <v>5.7599999999999998E-2</v>
      </c>
      <c r="X41" s="69" t="s">
        <v>30</v>
      </c>
      <c r="Y41" s="70" t="s">
        <v>30</v>
      </c>
    </row>
    <row r="42" spans="1:25">
      <c r="A42" s="81" t="s">
        <v>17</v>
      </c>
      <c r="B42" s="82" t="s">
        <v>53</v>
      </c>
      <c r="C42" s="82">
        <v>0.04</v>
      </c>
      <c r="D42" s="82">
        <v>0.19</v>
      </c>
      <c r="E42" s="82">
        <f t="shared" si="0"/>
        <v>3.61E-2</v>
      </c>
      <c r="F42" s="83" t="s">
        <v>30</v>
      </c>
      <c r="G42" s="84" t="s">
        <v>30</v>
      </c>
      <c r="J42" s="81" t="s">
        <v>17</v>
      </c>
      <c r="K42" s="82" t="s">
        <v>53</v>
      </c>
      <c r="L42" s="82">
        <v>0.18</v>
      </c>
      <c r="M42" s="82">
        <v>0.11</v>
      </c>
      <c r="N42" s="82">
        <f t="shared" si="1"/>
        <v>1.21E-2</v>
      </c>
      <c r="O42" s="83" t="s">
        <v>30</v>
      </c>
      <c r="P42" s="84" t="s">
        <v>30</v>
      </c>
      <c r="S42" s="81" t="s">
        <v>17</v>
      </c>
      <c r="T42" s="82" t="s">
        <v>53</v>
      </c>
      <c r="U42" s="82">
        <v>0.04</v>
      </c>
      <c r="V42" s="82">
        <v>0.28000000000000003</v>
      </c>
      <c r="W42" s="82">
        <f t="shared" si="2"/>
        <v>7.8400000000000011E-2</v>
      </c>
      <c r="X42" s="83" t="s">
        <v>30</v>
      </c>
      <c r="Y42" s="84" t="s">
        <v>30</v>
      </c>
    </row>
    <row r="43" spans="1:25">
      <c r="A43" s="81" t="s">
        <v>17</v>
      </c>
      <c r="B43" s="82" t="s">
        <v>54</v>
      </c>
      <c r="C43" s="82">
        <v>0.04</v>
      </c>
      <c r="D43" s="82">
        <v>0.18</v>
      </c>
      <c r="E43" s="82">
        <f t="shared" si="0"/>
        <v>3.2399999999999998E-2</v>
      </c>
      <c r="F43" s="83" t="s">
        <v>30</v>
      </c>
      <c r="G43" s="84" t="s">
        <v>30</v>
      </c>
      <c r="J43" s="81" t="s">
        <v>17</v>
      </c>
      <c r="K43" s="82" t="s">
        <v>54</v>
      </c>
      <c r="L43" s="82">
        <v>0.18</v>
      </c>
      <c r="M43" s="82">
        <v>0.1</v>
      </c>
      <c r="N43" s="82">
        <f t="shared" si="1"/>
        <v>1.0000000000000002E-2</v>
      </c>
      <c r="O43" s="83" t="s">
        <v>30</v>
      </c>
      <c r="P43" s="84" t="s">
        <v>30</v>
      </c>
      <c r="S43" s="81" t="s">
        <v>17</v>
      </c>
      <c r="T43" s="82" t="s">
        <v>54</v>
      </c>
      <c r="U43" s="82">
        <v>0.04</v>
      </c>
      <c r="V43" s="82">
        <v>0.28999999999999998</v>
      </c>
      <c r="W43" s="82">
        <f t="shared" si="2"/>
        <v>8.4099999999999994E-2</v>
      </c>
      <c r="X43" s="83" t="s">
        <v>30</v>
      </c>
      <c r="Y43" s="84" t="s">
        <v>30</v>
      </c>
    </row>
    <row r="44" spans="1:25">
      <c r="A44" s="81" t="s">
        <v>17</v>
      </c>
      <c r="B44" s="82" t="s">
        <v>55</v>
      </c>
      <c r="C44" s="82">
        <v>0.04</v>
      </c>
      <c r="D44" s="82">
        <v>0.14000000000000001</v>
      </c>
      <c r="E44" s="82">
        <f t="shared" si="0"/>
        <v>1.9600000000000003E-2</v>
      </c>
      <c r="F44" s="83" t="s">
        <v>30</v>
      </c>
      <c r="G44" s="84" t="s">
        <v>30</v>
      </c>
      <c r="J44" s="81" t="s">
        <v>17</v>
      </c>
      <c r="K44" s="82" t="s">
        <v>55</v>
      </c>
      <c r="L44" s="82">
        <v>0.18</v>
      </c>
      <c r="M44" s="82">
        <v>0.09</v>
      </c>
      <c r="N44" s="82">
        <f t="shared" si="1"/>
        <v>8.0999999999999996E-3</v>
      </c>
      <c r="O44" s="83" t="s">
        <v>30</v>
      </c>
      <c r="P44" s="84" t="s">
        <v>30</v>
      </c>
      <c r="S44" s="81" t="s">
        <v>17</v>
      </c>
      <c r="T44" s="82" t="s">
        <v>55</v>
      </c>
      <c r="U44" s="82">
        <v>0.04</v>
      </c>
      <c r="V44" s="82">
        <v>0.24</v>
      </c>
      <c r="W44" s="82">
        <f t="shared" si="2"/>
        <v>5.7599999999999998E-2</v>
      </c>
      <c r="X44" s="83" t="s">
        <v>30</v>
      </c>
      <c r="Y44" s="84" t="s">
        <v>30</v>
      </c>
    </row>
    <row r="45" spans="1:25" ht="15.75" thickBot="1">
      <c r="A45" s="85" t="s">
        <v>17</v>
      </c>
      <c r="B45" s="86" t="s">
        <v>56</v>
      </c>
      <c r="C45" s="86">
        <v>0.04</v>
      </c>
      <c r="D45" s="86">
        <v>0.15</v>
      </c>
      <c r="E45" s="86">
        <f t="shared" si="0"/>
        <v>2.2499999999999999E-2</v>
      </c>
      <c r="F45" s="77">
        <f>AVERAGE(D30:D45)</f>
        <v>0.17249999999999999</v>
      </c>
      <c r="G45" s="78">
        <f>F45*$B$8*0.3048^2</f>
        <v>1.1393323987499999E-2</v>
      </c>
      <c r="J45" s="81" t="s">
        <v>17</v>
      </c>
      <c r="K45" s="82" t="s">
        <v>56</v>
      </c>
      <c r="L45" s="82">
        <v>0.18</v>
      </c>
      <c r="M45" s="82">
        <v>0.1</v>
      </c>
      <c r="N45" s="82">
        <f t="shared" si="1"/>
        <v>1.0000000000000002E-2</v>
      </c>
      <c r="O45" s="83" t="s">
        <v>30</v>
      </c>
      <c r="P45" s="84" t="s">
        <v>30</v>
      </c>
      <c r="S45" s="105" t="s">
        <v>17</v>
      </c>
      <c r="T45" s="102" t="s">
        <v>56</v>
      </c>
      <c r="U45" s="102">
        <v>0.04</v>
      </c>
      <c r="V45" s="102">
        <v>0.24</v>
      </c>
      <c r="W45" s="102">
        <f t="shared" si="2"/>
        <v>5.7599999999999998E-2</v>
      </c>
      <c r="X45" s="75">
        <f>AVERAGE(V30:V45)</f>
        <v>0.27562500000000006</v>
      </c>
      <c r="Y45" s="76">
        <f>X45*$R$8*0.3048^2</f>
        <v>1.2669833531250004E-2</v>
      </c>
    </row>
    <row r="46" spans="1:25">
      <c r="A46" s="71" t="s">
        <v>19</v>
      </c>
      <c r="B46" s="72" t="s">
        <v>53</v>
      </c>
      <c r="C46" s="72">
        <v>0.19</v>
      </c>
      <c r="D46" s="72">
        <v>0.23</v>
      </c>
      <c r="E46" s="72">
        <f t="shared" si="0"/>
        <v>5.2900000000000003E-2</v>
      </c>
      <c r="F46" s="73" t="s">
        <v>30</v>
      </c>
      <c r="G46" s="74" t="s">
        <v>30</v>
      </c>
      <c r="J46" s="67" t="s">
        <v>17</v>
      </c>
      <c r="K46" s="68" t="s">
        <v>53</v>
      </c>
      <c r="L46" s="68">
        <v>0.11</v>
      </c>
      <c r="M46" s="68">
        <v>0.1</v>
      </c>
      <c r="N46" s="68">
        <f t="shared" si="1"/>
        <v>1.0000000000000002E-2</v>
      </c>
      <c r="O46" s="69" t="s">
        <v>30</v>
      </c>
      <c r="P46" s="70" t="s">
        <v>30</v>
      </c>
      <c r="S46" s="71" t="s">
        <v>19</v>
      </c>
      <c r="T46" s="72" t="s">
        <v>53</v>
      </c>
      <c r="U46" s="72">
        <v>0.14000000000000001</v>
      </c>
      <c r="V46" s="72">
        <v>0.34</v>
      </c>
      <c r="W46" s="72">
        <f t="shared" si="2"/>
        <v>0.11560000000000002</v>
      </c>
      <c r="X46" s="73" t="s">
        <v>30</v>
      </c>
      <c r="Y46" s="74" t="s">
        <v>30</v>
      </c>
    </row>
    <row r="47" spans="1:25">
      <c r="A47" s="63" t="s">
        <v>19</v>
      </c>
      <c r="B47" s="68" t="s">
        <v>54</v>
      </c>
      <c r="C47" s="68">
        <v>0.19</v>
      </c>
      <c r="D47" s="68">
        <v>0.19</v>
      </c>
      <c r="E47" s="68">
        <f t="shared" si="0"/>
        <v>3.61E-2</v>
      </c>
      <c r="F47" s="69" t="s">
        <v>30</v>
      </c>
      <c r="G47" s="70" t="s">
        <v>30</v>
      </c>
      <c r="J47" s="67" t="s">
        <v>17</v>
      </c>
      <c r="K47" s="68" t="s">
        <v>54</v>
      </c>
      <c r="L47" s="68">
        <v>0.11</v>
      </c>
      <c r="M47" s="68">
        <v>0.09</v>
      </c>
      <c r="N47" s="68">
        <f t="shared" si="1"/>
        <v>8.0999999999999996E-3</v>
      </c>
      <c r="O47" s="69" t="s">
        <v>30</v>
      </c>
      <c r="P47" s="70" t="s">
        <v>30</v>
      </c>
      <c r="S47" s="67" t="s">
        <v>19</v>
      </c>
      <c r="T47" s="68" t="s">
        <v>54</v>
      </c>
      <c r="U47" s="68">
        <v>0.14000000000000001</v>
      </c>
      <c r="V47" s="68">
        <v>0.28000000000000003</v>
      </c>
      <c r="W47" s="68">
        <f t="shared" si="2"/>
        <v>7.8400000000000011E-2</v>
      </c>
      <c r="X47" s="69" t="s">
        <v>30</v>
      </c>
      <c r="Y47" s="70" t="s">
        <v>30</v>
      </c>
    </row>
    <row r="48" spans="1:25">
      <c r="A48" s="63" t="s">
        <v>19</v>
      </c>
      <c r="B48" s="68" t="s">
        <v>55</v>
      </c>
      <c r="C48" s="68">
        <v>0.19</v>
      </c>
      <c r="D48" s="68">
        <v>0.17</v>
      </c>
      <c r="E48" s="68">
        <f t="shared" si="0"/>
        <v>2.8900000000000006E-2</v>
      </c>
      <c r="F48" s="69" t="s">
        <v>30</v>
      </c>
      <c r="G48" s="70" t="s">
        <v>30</v>
      </c>
      <c r="J48" s="67" t="s">
        <v>17</v>
      </c>
      <c r="K48" s="68" t="s">
        <v>55</v>
      </c>
      <c r="L48" s="68">
        <v>0.11</v>
      </c>
      <c r="M48" s="68">
        <v>0.1</v>
      </c>
      <c r="N48" s="68">
        <f t="shared" si="1"/>
        <v>1.0000000000000002E-2</v>
      </c>
      <c r="O48" s="69" t="s">
        <v>30</v>
      </c>
      <c r="P48" s="70" t="s">
        <v>30</v>
      </c>
      <c r="S48" s="67" t="s">
        <v>19</v>
      </c>
      <c r="T48" s="68" t="s">
        <v>55</v>
      </c>
      <c r="U48" s="68">
        <v>0.14000000000000001</v>
      </c>
      <c r="V48" s="68">
        <v>0.27</v>
      </c>
      <c r="W48" s="68">
        <f t="shared" si="2"/>
        <v>7.2900000000000006E-2</v>
      </c>
      <c r="X48" s="69" t="s">
        <v>30</v>
      </c>
      <c r="Y48" s="70" t="s">
        <v>30</v>
      </c>
    </row>
    <row r="49" spans="1:25">
      <c r="A49" s="63" t="s">
        <v>19</v>
      </c>
      <c r="B49" s="68" t="s">
        <v>56</v>
      </c>
      <c r="C49" s="68">
        <v>0.19</v>
      </c>
      <c r="D49" s="68">
        <v>0.23</v>
      </c>
      <c r="E49" s="68">
        <f t="shared" si="0"/>
        <v>5.2900000000000003E-2</v>
      </c>
      <c r="F49" s="69" t="s">
        <v>30</v>
      </c>
      <c r="G49" s="70" t="s">
        <v>30</v>
      </c>
      <c r="J49" s="67" t="s">
        <v>17</v>
      </c>
      <c r="K49" s="68" t="s">
        <v>56</v>
      </c>
      <c r="L49" s="68">
        <v>0.11</v>
      </c>
      <c r="M49" s="68">
        <v>0.11</v>
      </c>
      <c r="N49" s="68">
        <f t="shared" si="1"/>
        <v>1.21E-2</v>
      </c>
      <c r="O49" s="69" t="s">
        <v>30</v>
      </c>
      <c r="P49" s="70" t="s">
        <v>30</v>
      </c>
      <c r="S49" s="67" t="s">
        <v>19</v>
      </c>
      <c r="T49" s="68" t="s">
        <v>56</v>
      </c>
      <c r="U49" s="68">
        <v>0.14000000000000001</v>
      </c>
      <c r="V49" s="68">
        <v>0.31</v>
      </c>
      <c r="W49" s="68">
        <f t="shared" si="2"/>
        <v>9.6100000000000005E-2</v>
      </c>
      <c r="X49" s="69" t="s">
        <v>30</v>
      </c>
      <c r="Y49" s="70" t="s">
        <v>30</v>
      </c>
    </row>
    <row r="50" spans="1:25">
      <c r="A50" s="117" t="s">
        <v>19</v>
      </c>
      <c r="B50" s="82" t="s">
        <v>53</v>
      </c>
      <c r="C50" s="82">
        <v>0.13</v>
      </c>
      <c r="D50" s="82">
        <v>0.23</v>
      </c>
      <c r="E50" s="82">
        <f t="shared" si="0"/>
        <v>5.2900000000000003E-2</v>
      </c>
      <c r="F50" s="83" t="s">
        <v>30</v>
      </c>
      <c r="G50" s="84" t="s">
        <v>30</v>
      </c>
      <c r="J50" s="81" t="s">
        <v>17</v>
      </c>
      <c r="K50" s="82" t="s">
        <v>53</v>
      </c>
      <c r="L50" s="82">
        <v>0.04</v>
      </c>
      <c r="M50" s="82">
        <v>0.09</v>
      </c>
      <c r="N50" s="82">
        <f t="shared" si="1"/>
        <v>8.0999999999999996E-3</v>
      </c>
      <c r="O50" s="83" t="s">
        <v>30</v>
      </c>
      <c r="P50" s="84" t="s">
        <v>30</v>
      </c>
      <c r="S50" s="81" t="s">
        <v>19</v>
      </c>
      <c r="T50" s="82" t="s">
        <v>53</v>
      </c>
      <c r="U50" s="82">
        <v>0.1</v>
      </c>
      <c r="V50" s="82">
        <v>0.28999999999999998</v>
      </c>
      <c r="W50" s="82">
        <f t="shared" si="2"/>
        <v>8.4099999999999994E-2</v>
      </c>
      <c r="X50" s="83" t="s">
        <v>30</v>
      </c>
      <c r="Y50" s="84" t="s">
        <v>30</v>
      </c>
    </row>
    <row r="51" spans="1:25">
      <c r="A51" s="117" t="s">
        <v>19</v>
      </c>
      <c r="B51" s="82" t="s">
        <v>54</v>
      </c>
      <c r="C51" s="82">
        <v>0.13</v>
      </c>
      <c r="D51" s="82">
        <v>0.11</v>
      </c>
      <c r="E51" s="82">
        <f t="shared" si="0"/>
        <v>1.21E-2</v>
      </c>
      <c r="F51" s="83" t="s">
        <v>30</v>
      </c>
      <c r="G51" s="84" t="s">
        <v>30</v>
      </c>
      <c r="J51" s="81" t="s">
        <v>17</v>
      </c>
      <c r="K51" s="82" t="s">
        <v>54</v>
      </c>
      <c r="L51" s="82">
        <v>0.04</v>
      </c>
      <c r="M51" s="82">
        <v>0.09</v>
      </c>
      <c r="N51" s="82">
        <f t="shared" si="1"/>
        <v>8.0999999999999996E-3</v>
      </c>
      <c r="O51" s="83" t="s">
        <v>30</v>
      </c>
      <c r="P51" s="84" t="s">
        <v>30</v>
      </c>
      <c r="S51" s="81" t="s">
        <v>19</v>
      </c>
      <c r="T51" s="82" t="s">
        <v>54</v>
      </c>
      <c r="U51" s="82">
        <v>0.1</v>
      </c>
      <c r="V51" s="82">
        <v>0.24</v>
      </c>
      <c r="W51" s="82">
        <f t="shared" si="2"/>
        <v>5.7599999999999998E-2</v>
      </c>
      <c r="X51" s="83" t="s">
        <v>30</v>
      </c>
      <c r="Y51" s="84" t="s">
        <v>30</v>
      </c>
    </row>
    <row r="52" spans="1:25">
      <c r="A52" s="117" t="s">
        <v>19</v>
      </c>
      <c r="B52" s="82" t="s">
        <v>55</v>
      </c>
      <c r="C52" s="82">
        <v>0.13</v>
      </c>
      <c r="D52" s="82">
        <v>0.13</v>
      </c>
      <c r="E52" s="82">
        <f t="shared" si="0"/>
        <v>1.6900000000000002E-2</v>
      </c>
      <c r="F52" s="83" t="s">
        <v>30</v>
      </c>
      <c r="G52" s="84" t="s">
        <v>30</v>
      </c>
      <c r="J52" s="81" t="s">
        <v>17</v>
      </c>
      <c r="K52" s="82" t="s">
        <v>55</v>
      </c>
      <c r="L52" s="82">
        <v>0.04</v>
      </c>
      <c r="M52" s="82">
        <v>0.1</v>
      </c>
      <c r="N52" s="82">
        <f t="shared" si="1"/>
        <v>1.0000000000000002E-2</v>
      </c>
      <c r="O52" s="83" t="s">
        <v>30</v>
      </c>
      <c r="P52" s="84" t="s">
        <v>30</v>
      </c>
      <c r="S52" s="81" t="s">
        <v>19</v>
      </c>
      <c r="T52" s="82" t="s">
        <v>55</v>
      </c>
      <c r="U52" s="82">
        <v>0.1</v>
      </c>
      <c r="V52" s="82">
        <v>0.21</v>
      </c>
      <c r="W52" s="82">
        <f t="shared" si="2"/>
        <v>4.4099999999999993E-2</v>
      </c>
      <c r="X52" s="83" t="s">
        <v>30</v>
      </c>
      <c r="Y52" s="84" t="s">
        <v>30</v>
      </c>
    </row>
    <row r="53" spans="1:25" ht="15.75" thickBot="1">
      <c r="A53" s="117" t="s">
        <v>19</v>
      </c>
      <c r="B53" s="82" t="s">
        <v>56</v>
      </c>
      <c r="C53" s="82">
        <v>0.13</v>
      </c>
      <c r="D53" s="82">
        <v>0.2</v>
      </c>
      <c r="E53" s="82">
        <f t="shared" si="0"/>
        <v>4.0000000000000008E-2</v>
      </c>
      <c r="F53" s="83" t="s">
        <v>30</v>
      </c>
      <c r="G53" s="84" t="s">
        <v>30</v>
      </c>
      <c r="J53" s="85" t="s">
        <v>17</v>
      </c>
      <c r="K53" s="86" t="s">
        <v>56</v>
      </c>
      <c r="L53" s="86">
        <v>0.04</v>
      </c>
      <c r="M53" s="86">
        <v>0.13</v>
      </c>
      <c r="N53" s="86">
        <f t="shared" si="1"/>
        <v>1.6900000000000002E-2</v>
      </c>
      <c r="O53" s="77">
        <f>AVERAGE(M34:M53)</f>
        <v>0.10050000000000003</v>
      </c>
      <c r="P53" s="78">
        <f>O53*$J$8*0.3048^2</f>
        <v>1.0746994635000005E-2</v>
      </c>
      <c r="S53" s="81" t="s">
        <v>19</v>
      </c>
      <c r="T53" s="82" t="s">
        <v>56</v>
      </c>
      <c r="U53" s="82">
        <v>0.1</v>
      </c>
      <c r="V53" s="82">
        <v>0.3</v>
      </c>
      <c r="W53" s="82">
        <f t="shared" si="2"/>
        <v>0.09</v>
      </c>
      <c r="X53" s="83" t="s">
        <v>30</v>
      </c>
      <c r="Y53" s="84" t="s">
        <v>30</v>
      </c>
    </row>
    <row r="54" spans="1:25">
      <c r="A54" s="63" t="s">
        <v>19</v>
      </c>
      <c r="B54" s="68" t="s">
        <v>53</v>
      </c>
      <c r="C54" s="68">
        <v>0.08</v>
      </c>
      <c r="D54" s="68">
        <v>0.21</v>
      </c>
      <c r="E54" s="68">
        <f t="shared" si="0"/>
        <v>4.4099999999999993E-2</v>
      </c>
      <c r="F54" s="69" t="s">
        <v>30</v>
      </c>
      <c r="G54" s="70" t="s">
        <v>30</v>
      </c>
      <c r="J54" s="71" t="s">
        <v>19</v>
      </c>
      <c r="K54" s="72" t="s">
        <v>53</v>
      </c>
      <c r="L54" s="72">
        <v>0.32</v>
      </c>
      <c r="M54" s="72">
        <v>0.14000000000000001</v>
      </c>
      <c r="N54" s="72">
        <f t="shared" si="1"/>
        <v>1.9600000000000003E-2</v>
      </c>
      <c r="O54" s="73" t="s">
        <v>30</v>
      </c>
      <c r="P54" s="74" t="s">
        <v>30</v>
      </c>
      <c r="S54" s="67" t="s">
        <v>19</v>
      </c>
      <c r="T54" s="68" t="s">
        <v>53</v>
      </c>
      <c r="U54" s="68">
        <v>7.0000000000000007E-2</v>
      </c>
      <c r="V54" s="68">
        <v>0.26</v>
      </c>
      <c r="W54" s="68">
        <f t="shared" si="2"/>
        <v>6.7600000000000007E-2</v>
      </c>
      <c r="X54" s="69" t="s">
        <v>30</v>
      </c>
      <c r="Y54" s="70" t="s">
        <v>30</v>
      </c>
    </row>
    <row r="55" spans="1:25">
      <c r="A55" s="63" t="s">
        <v>19</v>
      </c>
      <c r="B55" s="68" t="s">
        <v>54</v>
      </c>
      <c r="C55" s="68">
        <v>0.08</v>
      </c>
      <c r="D55" s="68">
        <v>0.11</v>
      </c>
      <c r="E55" s="68">
        <f t="shared" si="0"/>
        <v>1.21E-2</v>
      </c>
      <c r="F55" s="69" t="s">
        <v>30</v>
      </c>
      <c r="G55" s="70" t="s">
        <v>30</v>
      </c>
      <c r="J55" s="67" t="s">
        <v>19</v>
      </c>
      <c r="K55" s="68" t="s">
        <v>54</v>
      </c>
      <c r="L55" s="68">
        <v>0.32</v>
      </c>
      <c r="M55" s="68">
        <v>0.12</v>
      </c>
      <c r="N55" s="68">
        <f t="shared" si="1"/>
        <v>1.44E-2</v>
      </c>
      <c r="O55" s="69" t="s">
        <v>30</v>
      </c>
      <c r="P55" s="70" t="s">
        <v>30</v>
      </c>
      <c r="S55" s="67" t="s">
        <v>19</v>
      </c>
      <c r="T55" s="68" t="s">
        <v>54</v>
      </c>
      <c r="U55" s="68">
        <v>7.0000000000000007E-2</v>
      </c>
      <c r="V55" s="68">
        <v>0.2</v>
      </c>
      <c r="W55" s="68">
        <f t="shared" si="2"/>
        <v>4.0000000000000008E-2</v>
      </c>
      <c r="X55" s="69" t="s">
        <v>30</v>
      </c>
      <c r="Y55" s="70" t="s">
        <v>30</v>
      </c>
    </row>
    <row r="56" spans="1:25">
      <c r="A56" s="63" t="s">
        <v>19</v>
      </c>
      <c r="B56" s="68" t="s">
        <v>55</v>
      </c>
      <c r="C56" s="68">
        <v>0.08</v>
      </c>
      <c r="D56" s="68">
        <v>0.1</v>
      </c>
      <c r="E56" s="68">
        <f t="shared" si="0"/>
        <v>1.0000000000000002E-2</v>
      </c>
      <c r="F56" s="69" t="s">
        <v>30</v>
      </c>
      <c r="G56" s="70" t="s">
        <v>30</v>
      </c>
      <c r="J56" s="67" t="s">
        <v>19</v>
      </c>
      <c r="K56" s="68" t="s">
        <v>55</v>
      </c>
      <c r="L56" s="68">
        <v>0.32</v>
      </c>
      <c r="M56" s="68">
        <v>0.11</v>
      </c>
      <c r="N56" s="68">
        <f t="shared" si="1"/>
        <v>1.21E-2</v>
      </c>
      <c r="O56" s="69" t="s">
        <v>30</v>
      </c>
      <c r="P56" s="70" t="s">
        <v>30</v>
      </c>
      <c r="S56" s="67" t="s">
        <v>19</v>
      </c>
      <c r="T56" s="68" t="s">
        <v>55</v>
      </c>
      <c r="U56" s="68">
        <v>7.0000000000000007E-2</v>
      </c>
      <c r="V56" s="68">
        <v>0.19</v>
      </c>
      <c r="W56" s="68">
        <f t="shared" si="2"/>
        <v>3.61E-2</v>
      </c>
      <c r="X56" s="69" t="s">
        <v>30</v>
      </c>
      <c r="Y56" s="70" t="s">
        <v>30</v>
      </c>
    </row>
    <row r="57" spans="1:25">
      <c r="A57" s="63" t="s">
        <v>19</v>
      </c>
      <c r="B57" s="68" t="s">
        <v>56</v>
      </c>
      <c r="C57" s="68">
        <v>0.08</v>
      </c>
      <c r="D57" s="68">
        <v>0.16</v>
      </c>
      <c r="E57" s="68">
        <f t="shared" si="0"/>
        <v>2.5600000000000001E-2</v>
      </c>
      <c r="F57" s="69" t="s">
        <v>30</v>
      </c>
      <c r="G57" s="70" t="s">
        <v>30</v>
      </c>
      <c r="J57" s="67" t="s">
        <v>19</v>
      </c>
      <c r="K57" s="68" t="s">
        <v>56</v>
      </c>
      <c r="L57" s="68">
        <v>0.32</v>
      </c>
      <c r="M57" s="68">
        <v>0.14000000000000001</v>
      </c>
      <c r="N57" s="68">
        <f t="shared" si="1"/>
        <v>1.9600000000000003E-2</v>
      </c>
      <c r="O57" s="69" t="s">
        <v>30</v>
      </c>
      <c r="P57" s="70" t="s">
        <v>30</v>
      </c>
      <c r="S57" s="67" t="s">
        <v>19</v>
      </c>
      <c r="T57" s="68" t="s">
        <v>56</v>
      </c>
      <c r="U57" s="68">
        <v>7.0000000000000007E-2</v>
      </c>
      <c r="V57" s="68">
        <v>0.26</v>
      </c>
      <c r="W57" s="68">
        <f t="shared" si="2"/>
        <v>6.7600000000000007E-2</v>
      </c>
      <c r="X57" s="69" t="s">
        <v>30</v>
      </c>
      <c r="Y57" s="70" t="s">
        <v>30</v>
      </c>
    </row>
    <row r="58" spans="1:25">
      <c r="A58" s="117" t="s">
        <v>19</v>
      </c>
      <c r="B58" s="82" t="s">
        <v>53</v>
      </c>
      <c r="C58" s="82">
        <v>0.04</v>
      </c>
      <c r="D58" s="82">
        <v>0.16</v>
      </c>
      <c r="E58" s="82">
        <f t="shared" si="0"/>
        <v>2.5600000000000001E-2</v>
      </c>
      <c r="F58" s="83" t="s">
        <v>30</v>
      </c>
      <c r="G58" s="84" t="s">
        <v>30</v>
      </c>
      <c r="J58" s="81" t="s">
        <v>19</v>
      </c>
      <c r="K58" s="82" t="s">
        <v>53</v>
      </c>
      <c r="L58" s="82">
        <v>0.25</v>
      </c>
      <c r="M58" s="82">
        <v>0.11</v>
      </c>
      <c r="N58" s="82">
        <f t="shared" si="1"/>
        <v>1.21E-2</v>
      </c>
      <c r="O58" s="83" t="s">
        <v>30</v>
      </c>
      <c r="P58" s="84" t="s">
        <v>30</v>
      </c>
      <c r="S58" s="81" t="s">
        <v>19</v>
      </c>
      <c r="T58" s="82" t="s">
        <v>53</v>
      </c>
      <c r="U58" s="82">
        <v>0.04</v>
      </c>
      <c r="V58" s="82">
        <v>0.22</v>
      </c>
      <c r="W58" s="82">
        <f t="shared" si="2"/>
        <v>4.8399999999999999E-2</v>
      </c>
      <c r="X58" s="83" t="s">
        <v>30</v>
      </c>
      <c r="Y58" s="84" t="s">
        <v>30</v>
      </c>
    </row>
    <row r="59" spans="1:25">
      <c r="A59" s="117" t="s">
        <v>19</v>
      </c>
      <c r="B59" s="82" t="s">
        <v>54</v>
      </c>
      <c r="C59" s="82">
        <v>0.04</v>
      </c>
      <c r="D59" s="82">
        <v>0.11</v>
      </c>
      <c r="E59" s="82">
        <f t="shared" si="0"/>
        <v>1.21E-2</v>
      </c>
      <c r="F59" s="83" t="s">
        <v>30</v>
      </c>
      <c r="G59" s="84" t="s">
        <v>30</v>
      </c>
      <c r="J59" s="81" t="s">
        <v>19</v>
      </c>
      <c r="K59" s="82" t="s">
        <v>54</v>
      </c>
      <c r="L59" s="82">
        <v>0.25</v>
      </c>
      <c r="M59" s="82">
        <v>7.0000000000000007E-2</v>
      </c>
      <c r="N59" s="82">
        <f t="shared" si="1"/>
        <v>4.9000000000000007E-3</v>
      </c>
      <c r="O59" s="83" t="s">
        <v>30</v>
      </c>
      <c r="P59" s="84" t="s">
        <v>30</v>
      </c>
      <c r="S59" s="81" t="s">
        <v>19</v>
      </c>
      <c r="T59" s="82" t="s">
        <v>54</v>
      </c>
      <c r="U59" s="82">
        <v>0.04</v>
      </c>
      <c r="V59" s="82">
        <v>0.15</v>
      </c>
      <c r="W59" s="82">
        <f t="shared" si="2"/>
        <v>2.2499999999999999E-2</v>
      </c>
      <c r="X59" s="83" t="s">
        <v>30</v>
      </c>
      <c r="Y59" s="84" t="s">
        <v>30</v>
      </c>
    </row>
    <row r="60" spans="1:25">
      <c r="A60" s="117" t="s">
        <v>19</v>
      </c>
      <c r="B60" s="82" t="s">
        <v>55</v>
      </c>
      <c r="C60" s="82">
        <v>0.04</v>
      </c>
      <c r="D60" s="82">
        <v>0.11</v>
      </c>
      <c r="E60" s="82">
        <f t="shared" si="0"/>
        <v>1.21E-2</v>
      </c>
      <c r="F60" s="83" t="s">
        <v>30</v>
      </c>
      <c r="G60" s="84" t="s">
        <v>30</v>
      </c>
      <c r="J60" s="81" t="s">
        <v>19</v>
      </c>
      <c r="K60" s="82" t="s">
        <v>55</v>
      </c>
      <c r="L60" s="82">
        <v>0.25</v>
      </c>
      <c r="M60" s="82">
        <v>0.08</v>
      </c>
      <c r="N60" s="82">
        <f t="shared" si="1"/>
        <v>6.4000000000000003E-3</v>
      </c>
      <c r="O60" s="83" t="s">
        <v>30</v>
      </c>
      <c r="P60" s="84" t="s">
        <v>30</v>
      </c>
      <c r="S60" s="81" t="s">
        <v>19</v>
      </c>
      <c r="T60" s="82" t="s">
        <v>55</v>
      </c>
      <c r="U60" s="82">
        <v>0.04</v>
      </c>
      <c r="V60" s="82">
        <v>0.19</v>
      </c>
      <c r="W60" s="82">
        <f t="shared" si="2"/>
        <v>3.61E-2</v>
      </c>
      <c r="X60" s="83" t="s">
        <v>30</v>
      </c>
      <c r="Y60" s="84" t="s">
        <v>30</v>
      </c>
    </row>
    <row r="61" spans="1:25" ht="15.75" thickBot="1">
      <c r="A61" s="130" t="s">
        <v>19</v>
      </c>
      <c r="B61" s="102" t="s">
        <v>56</v>
      </c>
      <c r="C61" s="102">
        <v>0.04</v>
      </c>
      <c r="D61" s="102">
        <v>0.13</v>
      </c>
      <c r="E61" s="102">
        <f t="shared" si="0"/>
        <v>1.6900000000000002E-2</v>
      </c>
      <c r="F61" s="75">
        <f>AVERAGE(D46:D61)</f>
        <v>0.16125</v>
      </c>
      <c r="G61" s="76">
        <f>F61*$B$8*0.3048^2</f>
        <v>1.065028111875E-2</v>
      </c>
      <c r="J61" s="81" t="s">
        <v>19</v>
      </c>
      <c r="K61" s="82" t="s">
        <v>56</v>
      </c>
      <c r="L61" s="82">
        <v>0.25</v>
      </c>
      <c r="M61" s="82">
        <v>0.12</v>
      </c>
      <c r="N61" s="82">
        <f t="shared" si="1"/>
        <v>1.44E-2</v>
      </c>
      <c r="O61" s="83" t="s">
        <v>30</v>
      </c>
      <c r="P61" s="84" t="s">
        <v>30</v>
      </c>
      <c r="S61" s="85" t="s">
        <v>19</v>
      </c>
      <c r="T61" s="86" t="s">
        <v>56</v>
      </c>
      <c r="U61" s="86">
        <v>0.04</v>
      </c>
      <c r="V61" s="86">
        <v>0.24</v>
      </c>
      <c r="W61" s="86">
        <f t="shared" si="2"/>
        <v>5.7599999999999998E-2</v>
      </c>
      <c r="X61" s="77">
        <f>AVERAGE(V46:V61)</f>
        <v>0.24687500000000001</v>
      </c>
      <c r="Y61" s="78">
        <f>X61*$R$8*0.3048^2</f>
        <v>1.1348263593750001E-2</v>
      </c>
    </row>
    <row r="62" spans="1:25">
      <c r="A62" s="71" t="s">
        <v>52</v>
      </c>
      <c r="B62" s="72" t="s">
        <v>53</v>
      </c>
      <c r="C62" s="72">
        <v>0.19</v>
      </c>
      <c r="D62" s="72">
        <v>0.24</v>
      </c>
      <c r="E62" s="72">
        <f t="shared" si="0"/>
        <v>5.7599999999999998E-2</v>
      </c>
      <c r="F62" s="73" t="s">
        <v>30</v>
      </c>
      <c r="G62" s="74" t="s">
        <v>30</v>
      </c>
      <c r="J62" s="67" t="s">
        <v>19</v>
      </c>
      <c r="K62" s="68" t="s">
        <v>53</v>
      </c>
      <c r="L62" s="68">
        <v>0.18</v>
      </c>
      <c r="M62" s="68">
        <v>0.1</v>
      </c>
      <c r="N62" s="68">
        <f t="shared" si="1"/>
        <v>1.0000000000000002E-2</v>
      </c>
      <c r="O62" s="69" t="s">
        <v>30</v>
      </c>
      <c r="P62" s="70" t="s">
        <v>30</v>
      </c>
      <c r="S62" s="71" t="s">
        <v>52</v>
      </c>
      <c r="T62" s="72" t="s">
        <v>53</v>
      </c>
      <c r="U62" s="72">
        <v>0.14000000000000001</v>
      </c>
      <c r="V62" s="72">
        <v>0.28999999999999998</v>
      </c>
      <c r="W62" s="72">
        <f t="shared" si="2"/>
        <v>8.4099999999999994E-2</v>
      </c>
      <c r="X62" s="73" t="s">
        <v>30</v>
      </c>
      <c r="Y62" s="74" t="s">
        <v>30</v>
      </c>
    </row>
    <row r="63" spans="1:25">
      <c r="A63" s="67" t="s">
        <v>52</v>
      </c>
      <c r="B63" s="68" t="s">
        <v>54</v>
      </c>
      <c r="C63" s="68">
        <v>0.19</v>
      </c>
      <c r="D63" s="68">
        <v>0.2</v>
      </c>
      <c r="E63" s="68">
        <f t="shared" si="0"/>
        <v>4.0000000000000008E-2</v>
      </c>
      <c r="F63" s="69" t="s">
        <v>30</v>
      </c>
      <c r="G63" s="70" t="s">
        <v>30</v>
      </c>
      <c r="J63" s="67" t="s">
        <v>19</v>
      </c>
      <c r="K63" s="68" t="s">
        <v>54</v>
      </c>
      <c r="L63" s="68">
        <v>0.18</v>
      </c>
      <c r="M63" s="68">
        <v>0.06</v>
      </c>
      <c r="N63" s="68">
        <f t="shared" si="1"/>
        <v>3.5999999999999999E-3</v>
      </c>
      <c r="O63" s="69" t="s">
        <v>30</v>
      </c>
      <c r="P63" s="70" t="s">
        <v>30</v>
      </c>
      <c r="S63" s="67" t="s">
        <v>52</v>
      </c>
      <c r="T63" s="68" t="s">
        <v>54</v>
      </c>
      <c r="U63" s="68">
        <v>0.14000000000000001</v>
      </c>
      <c r="V63" s="68">
        <v>0.28999999999999998</v>
      </c>
      <c r="W63" s="68">
        <f t="shared" si="2"/>
        <v>8.4099999999999994E-2</v>
      </c>
      <c r="X63" s="69" t="s">
        <v>30</v>
      </c>
      <c r="Y63" s="70" t="s">
        <v>30</v>
      </c>
    </row>
    <row r="64" spans="1:25">
      <c r="A64" s="67" t="s">
        <v>52</v>
      </c>
      <c r="B64" s="68" t="s">
        <v>55</v>
      </c>
      <c r="C64" s="68">
        <v>0.19</v>
      </c>
      <c r="D64" s="68">
        <v>0.19</v>
      </c>
      <c r="E64" s="68">
        <f t="shared" si="0"/>
        <v>3.61E-2</v>
      </c>
      <c r="F64" s="69" t="s">
        <v>30</v>
      </c>
      <c r="G64" s="70" t="s">
        <v>30</v>
      </c>
      <c r="J64" s="67" t="s">
        <v>19</v>
      </c>
      <c r="K64" s="68" t="s">
        <v>55</v>
      </c>
      <c r="L64" s="68">
        <v>0.18</v>
      </c>
      <c r="M64" s="68">
        <v>0.08</v>
      </c>
      <c r="N64" s="68">
        <f t="shared" si="1"/>
        <v>6.4000000000000003E-3</v>
      </c>
      <c r="O64" s="69" t="s">
        <v>30</v>
      </c>
      <c r="P64" s="70" t="s">
        <v>30</v>
      </c>
      <c r="S64" s="67" t="s">
        <v>52</v>
      </c>
      <c r="T64" s="68" t="s">
        <v>55</v>
      </c>
      <c r="U64" s="68">
        <v>0.14000000000000001</v>
      </c>
      <c r="V64" s="68">
        <v>0.28999999999999998</v>
      </c>
      <c r="W64" s="68">
        <f t="shared" si="2"/>
        <v>8.4099999999999994E-2</v>
      </c>
      <c r="X64" s="69" t="s">
        <v>30</v>
      </c>
      <c r="Y64" s="70" t="s">
        <v>30</v>
      </c>
    </row>
    <row r="65" spans="1:25">
      <c r="A65" s="67" t="s">
        <v>52</v>
      </c>
      <c r="B65" s="68" t="s">
        <v>56</v>
      </c>
      <c r="C65" s="68">
        <v>0.19</v>
      </c>
      <c r="D65" s="68">
        <v>0.22</v>
      </c>
      <c r="E65" s="68">
        <f t="shared" si="0"/>
        <v>4.8399999999999999E-2</v>
      </c>
      <c r="F65" s="69" t="s">
        <v>30</v>
      </c>
      <c r="G65" s="70" t="s">
        <v>30</v>
      </c>
      <c r="J65" s="67" t="s">
        <v>19</v>
      </c>
      <c r="K65" s="68" t="s">
        <v>56</v>
      </c>
      <c r="L65" s="68">
        <v>0.18</v>
      </c>
      <c r="M65" s="68">
        <v>0.11</v>
      </c>
      <c r="N65" s="68">
        <f t="shared" si="1"/>
        <v>1.21E-2</v>
      </c>
      <c r="O65" s="69" t="s">
        <v>30</v>
      </c>
      <c r="P65" s="70" t="s">
        <v>30</v>
      </c>
      <c r="S65" s="67" t="s">
        <v>52</v>
      </c>
      <c r="T65" s="68" t="s">
        <v>56</v>
      </c>
      <c r="U65" s="68">
        <v>0.14000000000000001</v>
      </c>
      <c r="V65" s="68">
        <v>0.31</v>
      </c>
      <c r="W65" s="68">
        <f t="shared" si="2"/>
        <v>9.6100000000000005E-2</v>
      </c>
      <c r="X65" s="69" t="s">
        <v>30</v>
      </c>
      <c r="Y65" s="70" t="s">
        <v>30</v>
      </c>
    </row>
    <row r="66" spans="1:25">
      <c r="A66" s="81" t="s">
        <v>52</v>
      </c>
      <c r="B66" s="82" t="s">
        <v>53</v>
      </c>
      <c r="C66" s="82">
        <v>0.13</v>
      </c>
      <c r="D66" s="82">
        <v>0.21</v>
      </c>
      <c r="E66" s="82">
        <f t="shared" si="0"/>
        <v>4.4099999999999993E-2</v>
      </c>
      <c r="F66" s="83" t="s">
        <v>30</v>
      </c>
      <c r="G66" s="84" t="s">
        <v>30</v>
      </c>
      <c r="J66" s="81" t="s">
        <v>19</v>
      </c>
      <c r="K66" s="82" t="s">
        <v>53</v>
      </c>
      <c r="L66" s="82">
        <v>0.11</v>
      </c>
      <c r="M66" s="82">
        <v>0.09</v>
      </c>
      <c r="N66" s="82">
        <f t="shared" si="1"/>
        <v>8.0999999999999996E-3</v>
      </c>
      <c r="O66" s="83" t="s">
        <v>30</v>
      </c>
      <c r="P66" s="84" t="s">
        <v>30</v>
      </c>
      <c r="S66" s="81" t="s">
        <v>52</v>
      </c>
      <c r="T66" s="82" t="s">
        <v>53</v>
      </c>
      <c r="U66" s="82">
        <v>0.1</v>
      </c>
      <c r="V66" s="82">
        <v>0.33</v>
      </c>
      <c r="W66" s="82">
        <f t="shared" si="2"/>
        <v>0.10890000000000001</v>
      </c>
      <c r="X66" s="83" t="s">
        <v>30</v>
      </c>
      <c r="Y66" s="84" t="s">
        <v>30</v>
      </c>
    </row>
    <row r="67" spans="1:25">
      <c r="A67" s="81" t="s">
        <v>52</v>
      </c>
      <c r="B67" s="82" t="s">
        <v>54</v>
      </c>
      <c r="C67" s="82">
        <v>0.13</v>
      </c>
      <c r="D67" s="82">
        <v>0.14000000000000001</v>
      </c>
      <c r="E67" s="82">
        <f t="shared" si="0"/>
        <v>1.9600000000000003E-2</v>
      </c>
      <c r="F67" s="83" t="s">
        <v>30</v>
      </c>
      <c r="G67" s="84" t="s">
        <v>30</v>
      </c>
      <c r="J67" s="81" t="s">
        <v>19</v>
      </c>
      <c r="K67" s="82" t="s">
        <v>54</v>
      </c>
      <c r="L67" s="82">
        <v>0.11</v>
      </c>
      <c r="M67" s="82">
        <v>0.05</v>
      </c>
      <c r="N67" s="82">
        <f t="shared" si="1"/>
        <v>2.5000000000000005E-3</v>
      </c>
      <c r="O67" s="83" t="s">
        <v>30</v>
      </c>
      <c r="P67" s="84" t="s">
        <v>30</v>
      </c>
      <c r="S67" s="81" t="s">
        <v>52</v>
      </c>
      <c r="T67" s="82" t="s">
        <v>54</v>
      </c>
      <c r="U67" s="82">
        <v>0.1</v>
      </c>
      <c r="V67" s="82">
        <v>0.28000000000000003</v>
      </c>
      <c r="W67" s="82">
        <f t="shared" si="2"/>
        <v>7.8400000000000011E-2</v>
      </c>
      <c r="X67" s="83" t="s">
        <v>30</v>
      </c>
      <c r="Y67" s="84" t="s">
        <v>30</v>
      </c>
    </row>
    <row r="68" spans="1:25">
      <c r="A68" s="81" t="s">
        <v>52</v>
      </c>
      <c r="B68" s="82" t="s">
        <v>55</v>
      </c>
      <c r="C68" s="82">
        <v>0.13</v>
      </c>
      <c r="D68" s="82">
        <v>0.15</v>
      </c>
      <c r="E68" s="82">
        <f t="shared" si="0"/>
        <v>2.2499999999999999E-2</v>
      </c>
      <c r="F68" s="83" t="s">
        <v>30</v>
      </c>
      <c r="G68" s="84" t="s">
        <v>30</v>
      </c>
      <c r="J68" s="81" t="s">
        <v>19</v>
      </c>
      <c r="K68" s="82" t="s">
        <v>55</v>
      </c>
      <c r="L68" s="82">
        <v>0.11</v>
      </c>
      <c r="M68" s="82">
        <v>0.05</v>
      </c>
      <c r="N68" s="82">
        <f t="shared" si="1"/>
        <v>2.5000000000000005E-3</v>
      </c>
      <c r="O68" s="83" t="s">
        <v>30</v>
      </c>
      <c r="P68" s="84" t="s">
        <v>30</v>
      </c>
      <c r="S68" s="81" t="s">
        <v>52</v>
      </c>
      <c r="T68" s="82" t="s">
        <v>55</v>
      </c>
      <c r="U68" s="82">
        <v>0.1</v>
      </c>
      <c r="V68" s="82">
        <v>0.25</v>
      </c>
      <c r="W68" s="82">
        <f t="shared" si="2"/>
        <v>6.25E-2</v>
      </c>
      <c r="X68" s="83" t="s">
        <v>30</v>
      </c>
      <c r="Y68" s="84" t="s">
        <v>30</v>
      </c>
    </row>
    <row r="69" spans="1:25">
      <c r="A69" s="81" t="s">
        <v>52</v>
      </c>
      <c r="B69" s="82" t="s">
        <v>56</v>
      </c>
      <c r="C69" s="82">
        <v>0.13</v>
      </c>
      <c r="D69" s="82">
        <v>0.18</v>
      </c>
      <c r="E69" s="82">
        <f t="shared" si="0"/>
        <v>3.2399999999999998E-2</v>
      </c>
      <c r="F69" s="83" t="s">
        <v>30</v>
      </c>
      <c r="G69" s="84" t="s">
        <v>30</v>
      </c>
      <c r="J69" s="81" t="s">
        <v>19</v>
      </c>
      <c r="K69" s="82" t="s">
        <v>56</v>
      </c>
      <c r="L69" s="82">
        <v>0.11</v>
      </c>
      <c r="M69" s="82">
        <v>0.09</v>
      </c>
      <c r="N69" s="82">
        <f t="shared" si="1"/>
        <v>8.0999999999999996E-3</v>
      </c>
      <c r="O69" s="83" t="s">
        <v>30</v>
      </c>
      <c r="P69" s="84" t="s">
        <v>30</v>
      </c>
      <c r="S69" s="81" t="s">
        <v>52</v>
      </c>
      <c r="T69" s="82" t="s">
        <v>56</v>
      </c>
      <c r="U69" s="82">
        <v>0.1</v>
      </c>
      <c r="V69" s="82">
        <v>0.27</v>
      </c>
      <c r="W69" s="82">
        <f t="shared" si="2"/>
        <v>7.2900000000000006E-2</v>
      </c>
      <c r="X69" s="83" t="s">
        <v>30</v>
      </c>
      <c r="Y69" s="84" t="s">
        <v>30</v>
      </c>
    </row>
    <row r="70" spans="1:25">
      <c r="A70" s="67" t="s">
        <v>52</v>
      </c>
      <c r="B70" s="68" t="s">
        <v>53</v>
      </c>
      <c r="C70" s="68">
        <v>0.08</v>
      </c>
      <c r="D70" s="68">
        <v>0.22</v>
      </c>
      <c r="E70" s="68">
        <f t="shared" si="0"/>
        <v>4.8399999999999999E-2</v>
      </c>
      <c r="F70" s="69" t="s">
        <v>30</v>
      </c>
      <c r="G70" s="70" t="s">
        <v>30</v>
      </c>
      <c r="J70" s="67" t="s">
        <v>19</v>
      </c>
      <c r="K70" s="68" t="s">
        <v>53</v>
      </c>
      <c r="L70" s="68">
        <v>0.04</v>
      </c>
      <c r="M70" s="68">
        <v>7.0000000000000007E-2</v>
      </c>
      <c r="N70" s="68">
        <f t="shared" si="1"/>
        <v>4.9000000000000007E-3</v>
      </c>
      <c r="O70" s="69" t="s">
        <v>30</v>
      </c>
      <c r="P70" s="70" t="s">
        <v>30</v>
      </c>
      <c r="S70" s="67" t="s">
        <v>52</v>
      </c>
      <c r="T70" s="68" t="s">
        <v>53</v>
      </c>
      <c r="U70" s="68">
        <v>7.0000000000000007E-2</v>
      </c>
      <c r="V70" s="68">
        <v>0.32</v>
      </c>
      <c r="W70" s="68">
        <f t="shared" si="2"/>
        <v>0.1024</v>
      </c>
      <c r="X70" s="69" t="s">
        <v>30</v>
      </c>
      <c r="Y70" s="70" t="s">
        <v>30</v>
      </c>
    </row>
    <row r="71" spans="1:25">
      <c r="A71" s="67" t="s">
        <v>52</v>
      </c>
      <c r="B71" s="68" t="s">
        <v>54</v>
      </c>
      <c r="C71" s="68">
        <v>0.08</v>
      </c>
      <c r="D71" s="68">
        <v>0.15</v>
      </c>
      <c r="E71" s="68">
        <f t="shared" si="0"/>
        <v>2.2499999999999999E-2</v>
      </c>
      <c r="F71" s="69" t="s">
        <v>30</v>
      </c>
      <c r="G71" s="70" t="s">
        <v>30</v>
      </c>
      <c r="J71" s="67" t="s">
        <v>19</v>
      </c>
      <c r="K71" s="68" t="s">
        <v>54</v>
      </c>
      <c r="L71" s="68">
        <v>0.04</v>
      </c>
      <c r="M71" s="68">
        <v>0.04</v>
      </c>
      <c r="N71" s="68">
        <f t="shared" si="1"/>
        <v>1.6000000000000001E-3</v>
      </c>
      <c r="O71" s="69" t="s">
        <v>30</v>
      </c>
      <c r="P71" s="70" t="s">
        <v>30</v>
      </c>
      <c r="S71" s="67" t="s">
        <v>52</v>
      </c>
      <c r="T71" s="68" t="s">
        <v>54</v>
      </c>
      <c r="U71" s="68">
        <v>7.0000000000000007E-2</v>
      </c>
      <c r="V71" s="68">
        <v>0.27</v>
      </c>
      <c r="W71" s="68">
        <f t="shared" si="2"/>
        <v>7.2900000000000006E-2</v>
      </c>
      <c r="X71" s="69" t="s">
        <v>30</v>
      </c>
      <c r="Y71" s="70" t="s">
        <v>30</v>
      </c>
    </row>
    <row r="72" spans="1:25">
      <c r="A72" s="67" t="s">
        <v>52</v>
      </c>
      <c r="B72" s="68" t="s">
        <v>55</v>
      </c>
      <c r="C72" s="68">
        <v>0.08</v>
      </c>
      <c r="D72" s="68">
        <v>0.12</v>
      </c>
      <c r="E72" s="68">
        <f t="shared" si="0"/>
        <v>1.44E-2</v>
      </c>
      <c r="F72" s="69" t="s">
        <v>30</v>
      </c>
      <c r="G72" s="70" t="s">
        <v>30</v>
      </c>
      <c r="J72" s="67" t="s">
        <v>19</v>
      </c>
      <c r="K72" s="68" t="s">
        <v>55</v>
      </c>
      <c r="L72" s="68">
        <v>0.04</v>
      </c>
      <c r="M72" s="68">
        <v>7.0000000000000007E-2</v>
      </c>
      <c r="N72" s="68">
        <f t="shared" si="1"/>
        <v>4.9000000000000007E-3</v>
      </c>
      <c r="O72" s="69" t="s">
        <v>30</v>
      </c>
      <c r="P72" s="70" t="s">
        <v>30</v>
      </c>
      <c r="S72" s="67" t="s">
        <v>52</v>
      </c>
      <c r="T72" s="68" t="s">
        <v>55</v>
      </c>
      <c r="U72" s="68">
        <v>7.0000000000000007E-2</v>
      </c>
      <c r="V72" s="68">
        <v>0.21</v>
      </c>
      <c r="W72" s="68">
        <f t="shared" si="2"/>
        <v>4.4099999999999993E-2</v>
      </c>
      <c r="X72" s="69" t="s">
        <v>30</v>
      </c>
      <c r="Y72" s="70" t="s">
        <v>30</v>
      </c>
    </row>
    <row r="73" spans="1:25" ht="15.75" thickBot="1">
      <c r="A73" s="67" t="s">
        <v>52</v>
      </c>
      <c r="B73" s="68" t="s">
        <v>56</v>
      </c>
      <c r="C73" s="68">
        <v>0.08</v>
      </c>
      <c r="D73" s="68">
        <v>0.17</v>
      </c>
      <c r="E73" s="68">
        <f t="shared" si="0"/>
        <v>2.8900000000000006E-2</v>
      </c>
      <c r="F73" s="69" t="s">
        <v>30</v>
      </c>
      <c r="G73" s="70" t="s">
        <v>30</v>
      </c>
      <c r="J73" s="79" t="s">
        <v>19</v>
      </c>
      <c r="K73" s="80" t="s">
        <v>56</v>
      </c>
      <c r="L73" s="80">
        <v>0.04</v>
      </c>
      <c r="M73" s="80">
        <v>0.1</v>
      </c>
      <c r="N73" s="80">
        <f t="shared" si="1"/>
        <v>1.0000000000000002E-2</v>
      </c>
      <c r="O73" s="77">
        <f>AVERAGE(M54:M73)</f>
        <v>9.0000000000000024E-2</v>
      </c>
      <c r="P73" s="78">
        <f>O73*$J$8*0.3048^2</f>
        <v>9.624174300000005E-3</v>
      </c>
      <c r="S73" s="67" t="s">
        <v>52</v>
      </c>
      <c r="T73" s="68" t="s">
        <v>56</v>
      </c>
      <c r="U73" s="68">
        <v>7.0000000000000007E-2</v>
      </c>
      <c r="V73" s="68">
        <v>0.24</v>
      </c>
      <c r="W73" s="68">
        <f t="shared" si="2"/>
        <v>5.7599999999999998E-2</v>
      </c>
      <c r="X73" s="69" t="s">
        <v>30</v>
      </c>
      <c r="Y73" s="70" t="s">
        <v>30</v>
      </c>
    </row>
    <row r="74" spans="1:25">
      <c r="A74" s="81" t="s">
        <v>52</v>
      </c>
      <c r="B74" s="82" t="s">
        <v>53</v>
      </c>
      <c r="C74" s="82">
        <v>0.04</v>
      </c>
      <c r="D74" s="82">
        <v>0.18</v>
      </c>
      <c r="E74" s="82">
        <f t="shared" si="0"/>
        <v>3.2399999999999998E-2</v>
      </c>
      <c r="F74" s="83" t="s">
        <v>30</v>
      </c>
      <c r="G74" s="84" t="s">
        <v>30</v>
      </c>
      <c r="J74" s="119" t="s">
        <v>52</v>
      </c>
      <c r="K74" s="104" t="s">
        <v>53</v>
      </c>
      <c r="L74" s="104">
        <v>0.32</v>
      </c>
      <c r="M74" s="104">
        <v>0.14000000000000001</v>
      </c>
      <c r="N74" s="104">
        <f t="shared" si="1"/>
        <v>1.9600000000000003E-2</v>
      </c>
      <c r="O74" s="120" t="s">
        <v>30</v>
      </c>
      <c r="P74" s="121" t="s">
        <v>30</v>
      </c>
      <c r="S74" s="81" t="s">
        <v>52</v>
      </c>
      <c r="T74" s="82" t="s">
        <v>53</v>
      </c>
      <c r="U74" s="82">
        <v>0.04</v>
      </c>
      <c r="V74" s="82">
        <v>0.28999999999999998</v>
      </c>
      <c r="W74" s="82">
        <f t="shared" si="2"/>
        <v>8.4099999999999994E-2</v>
      </c>
      <c r="X74" s="83" t="s">
        <v>30</v>
      </c>
      <c r="Y74" s="84" t="s">
        <v>30</v>
      </c>
    </row>
    <row r="75" spans="1:25">
      <c r="A75" s="81" t="s">
        <v>52</v>
      </c>
      <c r="B75" s="82" t="s">
        <v>54</v>
      </c>
      <c r="C75" s="82">
        <v>0.04</v>
      </c>
      <c r="D75" s="82">
        <v>0.15</v>
      </c>
      <c r="E75" s="82">
        <f t="shared" si="0"/>
        <v>2.2499999999999999E-2</v>
      </c>
      <c r="F75" s="83" t="s">
        <v>30</v>
      </c>
      <c r="G75" s="84" t="s">
        <v>30</v>
      </c>
      <c r="J75" s="81" t="s">
        <v>52</v>
      </c>
      <c r="K75" s="82" t="s">
        <v>54</v>
      </c>
      <c r="L75" s="82">
        <v>0.32</v>
      </c>
      <c r="M75" s="82">
        <v>0.13</v>
      </c>
      <c r="N75" s="82">
        <f t="shared" si="1"/>
        <v>1.6900000000000002E-2</v>
      </c>
      <c r="O75" s="83" t="s">
        <v>30</v>
      </c>
      <c r="P75" s="84" t="s">
        <v>30</v>
      </c>
      <c r="S75" s="81" t="s">
        <v>52</v>
      </c>
      <c r="T75" s="82" t="s">
        <v>54</v>
      </c>
      <c r="U75" s="82">
        <v>0.04</v>
      </c>
      <c r="V75" s="82">
        <v>0.26</v>
      </c>
      <c r="W75" s="82">
        <f t="shared" si="2"/>
        <v>6.7600000000000007E-2</v>
      </c>
      <c r="X75" s="83" t="s">
        <v>30</v>
      </c>
      <c r="Y75" s="84" t="s">
        <v>30</v>
      </c>
    </row>
    <row r="76" spans="1:25">
      <c r="A76" s="81" t="s">
        <v>52</v>
      </c>
      <c r="B76" s="82" t="s">
        <v>55</v>
      </c>
      <c r="C76" s="82">
        <v>0.04</v>
      </c>
      <c r="D76" s="82">
        <v>0.11</v>
      </c>
      <c r="E76" s="82">
        <f t="shared" si="0"/>
        <v>1.21E-2</v>
      </c>
      <c r="F76" s="83" t="s">
        <v>30</v>
      </c>
      <c r="G76" s="84" t="s">
        <v>30</v>
      </c>
      <c r="J76" s="81" t="s">
        <v>52</v>
      </c>
      <c r="K76" s="82" t="s">
        <v>55</v>
      </c>
      <c r="L76" s="82">
        <v>0.32</v>
      </c>
      <c r="M76" s="82">
        <v>0.13</v>
      </c>
      <c r="N76" s="82">
        <f t="shared" si="1"/>
        <v>1.6900000000000002E-2</v>
      </c>
      <c r="O76" s="83" t="s">
        <v>30</v>
      </c>
      <c r="P76" s="84" t="s">
        <v>30</v>
      </c>
      <c r="S76" s="81" t="s">
        <v>52</v>
      </c>
      <c r="T76" s="82" t="s">
        <v>55</v>
      </c>
      <c r="U76" s="82">
        <v>0.04</v>
      </c>
      <c r="V76" s="82">
        <v>0.2</v>
      </c>
      <c r="W76" s="82">
        <f t="shared" si="2"/>
        <v>4.0000000000000008E-2</v>
      </c>
      <c r="X76" s="83" t="s">
        <v>30</v>
      </c>
      <c r="Y76" s="84" t="s">
        <v>30</v>
      </c>
    </row>
    <row r="77" spans="1:25" ht="15.75" thickBot="1">
      <c r="A77" s="85" t="s">
        <v>52</v>
      </c>
      <c r="B77" s="86" t="s">
        <v>56</v>
      </c>
      <c r="C77" s="86">
        <v>0.04</v>
      </c>
      <c r="D77" s="86">
        <v>0.17</v>
      </c>
      <c r="E77" s="86">
        <f t="shared" si="0"/>
        <v>2.8900000000000006E-2</v>
      </c>
      <c r="F77" s="77">
        <f>AVERAGE(D62:D77)</f>
        <v>0.17499999999999999</v>
      </c>
      <c r="G77" s="78">
        <f>F77*$B$8*0.3048^2</f>
        <v>1.1558444625000001E-2</v>
      </c>
      <c r="J77" s="81" t="s">
        <v>52</v>
      </c>
      <c r="K77" s="82" t="s">
        <v>56</v>
      </c>
      <c r="L77" s="82">
        <v>0.32</v>
      </c>
      <c r="M77" s="82">
        <v>0.15</v>
      </c>
      <c r="N77" s="82">
        <f t="shared" si="1"/>
        <v>2.2499999999999999E-2</v>
      </c>
      <c r="O77" s="83" t="s">
        <v>30</v>
      </c>
      <c r="P77" s="84" t="s">
        <v>30</v>
      </c>
      <c r="S77" s="85" t="s">
        <v>52</v>
      </c>
      <c r="T77" s="86" t="s">
        <v>56</v>
      </c>
      <c r="U77" s="86">
        <v>0.04</v>
      </c>
      <c r="V77" s="86">
        <v>0.21</v>
      </c>
      <c r="W77" s="86">
        <f t="shared" si="2"/>
        <v>4.4099999999999993E-2</v>
      </c>
      <c r="X77" s="77">
        <f>AVERAGE(V62:V77)</f>
        <v>0.26937499999999998</v>
      </c>
      <c r="Y77" s="78">
        <f>X77*$R$8*0.3048^2</f>
        <v>1.2382535718749999E-2</v>
      </c>
    </row>
    <row r="78" spans="1:25">
      <c r="A78" s="23"/>
      <c r="B78" s="23"/>
      <c r="C78" s="23"/>
      <c r="D78" s="23"/>
      <c r="E78" s="23"/>
      <c r="F78" s="23"/>
      <c r="G78" s="23"/>
      <c r="J78" s="67" t="s">
        <v>52</v>
      </c>
      <c r="K78" s="68" t="s">
        <v>53</v>
      </c>
      <c r="L78" s="68">
        <v>0.25</v>
      </c>
      <c r="M78" s="68">
        <v>0.13</v>
      </c>
      <c r="N78" s="68">
        <f t="shared" si="1"/>
        <v>1.6900000000000002E-2</v>
      </c>
      <c r="O78" s="69" t="s">
        <v>30</v>
      </c>
      <c r="P78" s="70" t="s">
        <v>30</v>
      </c>
    </row>
    <row r="79" spans="1:25">
      <c r="J79" s="67" t="s">
        <v>52</v>
      </c>
      <c r="K79" s="68" t="s">
        <v>54</v>
      </c>
      <c r="L79" s="68">
        <v>0.25</v>
      </c>
      <c r="M79" s="68">
        <v>0.09</v>
      </c>
      <c r="N79" s="68">
        <f t="shared" si="1"/>
        <v>8.0999999999999996E-3</v>
      </c>
      <c r="O79" s="69" t="s">
        <v>30</v>
      </c>
      <c r="P79" s="70" t="s">
        <v>30</v>
      </c>
    </row>
    <row r="80" spans="1:25" ht="15.75" thickBot="1">
      <c r="A80" s="41" t="s">
        <v>50</v>
      </c>
      <c r="D80" s="40" t="s">
        <v>49</v>
      </c>
      <c r="J80" s="67" t="s">
        <v>52</v>
      </c>
      <c r="K80" s="68" t="s">
        <v>55</v>
      </c>
      <c r="L80" s="68">
        <v>0.25</v>
      </c>
      <c r="M80" s="68">
        <v>0.09</v>
      </c>
      <c r="N80" s="68">
        <f t="shared" ref="N80:N93" si="3">M80^2</f>
        <v>8.0999999999999996E-3</v>
      </c>
      <c r="O80" s="69" t="s">
        <v>30</v>
      </c>
      <c r="P80" s="70" t="s">
        <v>30</v>
      </c>
      <c r="S80" s="41" t="s">
        <v>50</v>
      </c>
      <c r="V80" s="40" t="s">
        <v>49</v>
      </c>
    </row>
    <row r="81" spans="1:24" ht="18.75">
      <c r="A81" s="16" t="s">
        <v>41</v>
      </c>
      <c r="B81" s="17">
        <v>0.53600000000000003</v>
      </c>
      <c r="D81" s="16" t="s">
        <v>44</v>
      </c>
      <c r="E81" s="42">
        <f>$B$6*E4/12</f>
        <v>0.71354166666666663</v>
      </c>
      <c r="J81" s="67" t="s">
        <v>52</v>
      </c>
      <c r="K81" s="68" t="s">
        <v>56</v>
      </c>
      <c r="L81" s="68">
        <v>0.25</v>
      </c>
      <c r="M81" s="68">
        <v>0.11</v>
      </c>
      <c r="N81" s="68">
        <f t="shared" si="3"/>
        <v>1.21E-2</v>
      </c>
      <c r="O81" s="69" t="s">
        <v>30</v>
      </c>
      <c r="P81" s="70" t="s">
        <v>30</v>
      </c>
      <c r="S81" s="16" t="s">
        <v>41</v>
      </c>
      <c r="T81" s="17">
        <v>0.40799999999999997</v>
      </c>
      <c r="V81" s="16" t="s">
        <v>44</v>
      </c>
      <c r="W81" s="42">
        <f>$B$6*U4/12</f>
        <v>0.49479166666666669</v>
      </c>
    </row>
    <row r="82" spans="1:24" ht="18.75">
      <c r="A82" s="18" t="s">
        <v>42</v>
      </c>
      <c r="B82" s="8">
        <v>102</v>
      </c>
      <c r="D82" s="18" t="s">
        <v>45</v>
      </c>
      <c r="E82" s="26">
        <f>$B$6*E5/12</f>
        <v>0.70833333333333337</v>
      </c>
      <c r="J82" s="81" t="s">
        <v>52</v>
      </c>
      <c r="K82" s="82" t="s">
        <v>53</v>
      </c>
      <c r="L82" s="82">
        <v>0.18</v>
      </c>
      <c r="M82" s="82">
        <v>0.15</v>
      </c>
      <c r="N82" s="82">
        <f t="shared" si="3"/>
        <v>2.2499999999999999E-2</v>
      </c>
      <c r="O82" s="83" t="s">
        <v>30</v>
      </c>
      <c r="P82" s="84" t="s">
        <v>30</v>
      </c>
      <c r="S82" s="18" t="s">
        <v>42</v>
      </c>
      <c r="T82" s="8">
        <v>72</v>
      </c>
      <c r="V82" s="18" t="s">
        <v>45</v>
      </c>
      <c r="W82" s="26">
        <f>$B$6*U5/12</f>
        <v>0.49479166666666669</v>
      </c>
    </row>
    <row r="83" spans="1:24" ht="19.5" thickBot="1">
      <c r="A83" s="27" t="s">
        <v>43</v>
      </c>
      <c r="B83" s="44">
        <f>B82*B81/144</f>
        <v>0.37966666666666671</v>
      </c>
      <c r="D83" s="18" t="s">
        <v>46</v>
      </c>
      <c r="E83" s="25">
        <f>CONVERT(F45,"m","ft")</f>
        <v>0.56594488188976366</v>
      </c>
      <c r="J83" s="81" t="s">
        <v>52</v>
      </c>
      <c r="K83" s="82" t="s">
        <v>54</v>
      </c>
      <c r="L83" s="82">
        <v>0.18</v>
      </c>
      <c r="M83" s="82">
        <v>0.12</v>
      </c>
      <c r="N83" s="82">
        <f t="shared" si="3"/>
        <v>1.44E-2</v>
      </c>
      <c r="O83" s="83" t="s">
        <v>30</v>
      </c>
      <c r="P83" s="84" t="s">
        <v>30</v>
      </c>
      <c r="S83" s="27" t="s">
        <v>43</v>
      </c>
      <c r="T83" s="44">
        <f>T82*T81/144</f>
        <v>0.20399999999999999</v>
      </c>
      <c r="V83" s="18" t="s">
        <v>46</v>
      </c>
      <c r="W83" s="25">
        <f>CONVERT(X45,"m","ft")</f>
        <v>0.90428149606299224</v>
      </c>
    </row>
    <row r="84" spans="1:24" ht="18">
      <c r="D84" s="18" t="s">
        <v>47</v>
      </c>
      <c r="E84" s="25">
        <f>CONVERT(F77,"m","ft")</f>
        <v>0.5741469816272966</v>
      </c>
      <c r="J84" s="81" t="s">
        <v>52</v>
      </c>
      <c r="K84" s="82" t="s">
        <v>55</v>
      </c>
      <c r="L84" s="82">
        <v>0.18</v>
      </c>
      <c r="M84" s="82">
        <v>7.0000000000000007E-2</v>
      </c>
      <c r="N84" s="82">
        <f t="shared" si="3"/>
        <v>4.9000000000000007E-3</v>
      </c>
      <c r="O84" s="83" t="s">
        <v>30</v>
      </c>
      <c r="P84" s="84" t="s">
        <v>30</v>
      </c>
      <c r="V84" s="18" t="s">
        <v>47</v>
      </c>
      <c r="W84" s="25">
        <f>CONVERT(X77,"m","ft")</f>
        <v>0.88377624671916</v>
      </c>
    </row>
    <row r="85" spans="1:24" ht="18">
      <c r="D85" s="18" t="s">
        <v>48</v>
      </c>
      <c r="E85" s="25">
        <f>CONVERT(F29,"m","ft")</f>
        <v>0.5741469816272966</v>
      </c>
      <c r="J85" s="81" t="s">
        <v>52</v>
      </c>
      <c r="K85" s="82" t="s">
        <v>56</v>
      </c>
      <c r="L85" s="82">
        <v>0.18</v>
      </c>
      <c r="M85" s="82">
        <v>0.1</v>
      </c>
      <c r="N85" s="82">
        <f t="shared" si="3"/>
        <v>1.0000000000000002E-2</v>
      </c>
      <c r="O85" s="83" t="s">
        <v>30</v>
      </c>
      <c r="P85" s="84" t="s">
        <v>30</v>
      </c>
      <c r="V85" s="18" t="s">
        <v>48</v>
      </c>
      <c r="W85" s="25">
        <f>CONVERT(X29,"m","ft")</f>
        <v>0.92888779527559051</v>
      </c>
    </row>
    <row r="86" spans="1:24" ht="18.75" thickBot="1">
      <c r="D86" s="127" t="s">
        <v>51</v>
      </c>
      <c r="E86" s="128">
        <f>2*(E83^2*E81-E84^2*E82)/(B83*E85^2)</f>
        <v>-7.9190258192831098E-2</v>
      </c>
      <c r="F86" t="s">
        <v>74</v>
      </c>
      <c r="J86" s="67" t="s">
        <v>52</v>
      </c>
      <c r="K86" s="68" t="s">
        <v>53</v>
      </c>
      <c r="L86" s="68">
        <v>0.11</v>
      </c>
      <c r="M86" s="68">
        <v>0.11</v>
      </c>
      <c r="N86" s="68">
        <f t="shared" si="3"/>
        <v>1.21E-2</v>
      </c>
      <c r="O86" s="69" t="s">
        <v>30</v>
      </c>
      <c r="P86" s="70" t="s">
        <v>30</v>
      </c>
      <c r="V86" s="127" t="s">
        <v>51</v>
      </c>
      <c r="W86" s="128">
        <f>2*(W83^2*W81-W84^2*W82)/(T83*W85^2)</f>
        <v>0.2061305137752617</v>
      </c>
      <c r="X86" t="s">
        <v>74</v>
      </c>
    </row>
    <row r="87" spans="1:24" ht="18.75" thickBot="1">
      <c r="D87" s="27" t="s">
        <v>51</v>
      </c>
      <c r="E87" s="43">
        <f>2*(E81/16*SUM(E30:E45)/0.3048^2-E82/16*SUM(E62:E77)/0.3048^2)/(B83*E85^2)</f>
        <v>-0.13709215029295391</v>
      </c>
      <c r="F87" t="s">
        <v>75</v>
      </c>
      <c r="J87" s="67" t="s">
        <v>52</v>
      </c>
      <c r="K87" s="68" t="s">
        <v>54</v>
      </c>
      <c r="L87" s="68">
        <v>0.11</v>
      </c>
      <c r="M87" s="68">
        <v>7.0000000000000007E-2</v>
      </c>
      <c r="N87" s="68">
        <f t="shared" si="3"/>
        <v>4.9000000000000007E-3</v>
      </c>
      <c r="O87" s="69" t="s">
        <v>30</v>
      </c>
      <c r="P87" s="70" t="s">
        <v>30</v>
      </c>
      <c r="V87" s="27" t="s">
        <v>51</v>
      </c>
      <c r="W87" s="43">
        <f>2*(W81/16*SUM(W30:W45)/0.3048^2-W82/16*SUM(W62:W77)/0.3048^2)/(T83*W85^2)</f>
        <v>0.17625104480600134</v>
      </c>
      <c r="X87" t="s">
        <v>75</v>
      </c>
    </row>
    <row r="88" spans="1:24" ht="18.75" thickBot="1">
      <c r="D88" s="27" t="s">
        <v>51</v>
      </c>
      <c r="E88" s="43">
        <f>2*(E81/16*SUM(E30:E45)/0.3048^2-E82/16*SUM(E46:E61)/0.3048^2)/(B83*E85^2)</f>
        <v>0.3167610327713164</v>
      </c>
      <c r="F88" t="s">
        <v>76</v>
      </c>
      <c r="J88" s="67" t="s">
        <v>52</v>
      </c>
      <c r="K88" s="68" t="s">
        <v>55</v>
      </c>
      <c r="L88" s="68">
        <v>0.11</v>
      </c>
      <c r="M88" s="68">
        <v>0.06</v>
      </c>
      <c r="N88" s="68">
        <f t="shared" si="3"/>
        <v>3.5999999999999999E-3</v>
      </c>
      <c r="O88" s="69" t="s">
        <v>30</v>
      </c>
      <c r="P88" s="70" t="s">
        <v>30</v>
      </c>
      <c r="V88" s="27" t="s">
        <v>51</v>
      </c>
      <c r="W88" s="43">
        <f>2*(W81/16*SUM(W30:W45)/0.3048^2-W82/16*SUM(W46:W61)/0.3048^2)/(T83*W85^2)</f>
        <v>0.81620119032478811</v>
      </c>
      <c r="X88" t="s">
        <v>76</v>
      </c>
    </row>
    <row r="89" spans="1:24">
      <c r="J89" s="67" t="s">
        <v>52</v>
      </c>
      <c r="K89" s="68" t="s">
        <v>56</v>
      </c>
      <c r="L89" s="68">
        <v>0.11</v>
      </c>
      <c r="M89" s="68">
        <v>0.1</v>
      </c>
      <c r="N89" s="68">
        <f t="shared" si="3"/>
        <v>1.0000000000000002E-2</v>
      </c>
      <c r="O89" s="69" t="s">
        <v>30</v>
      </c>
      <c r="P89" s="70" t="s">
        <v>30</v>
      </c>
    </row>
    <row r="90" spans="1:24">
      <c r="A90" s="10" t="s">
        <v>57</v>
      </c>
      <c r="J90" s="81" t="s">
        <v>52</v>
      </c>
      <c r="K90" s="82" t="s">
        <v>53</v>
      </c>
      <c r="L90" s="82">
        <v>0.04</v>
      </c>
      <c r="M90" s="82">
        <v>0.1</v>
      </c>
      <c r="N90" s="82">
        <f t="shared" si="3"/>
        <v>1.0000000000000002E-2</v>
      </c>
      <c r="O90" s="83" t="s">
        <v>30</v>
      </c>
      <c r="P90" s="84" t="s">
        <v>30</v>
      </c>
      <c r="S90" s="10" t="s">
        <v>57</v>
      </c>
    </row>
    <row r="91" spans="1:24" ht="18">
      <c r="A91" s="13" t="s">
        <v>5</v>
      </c>
      <c r="B91" s="3">
        <v>5.0000000000000001E-3</v>
      </c>
      <c r="J91" s="81" t="s">
        <v>52</v>
      </c>
      <c r="K91" s="82" t="s">
        <v>54</v>
      </c>
      <c r="L91" s="82">
        <v>0.04</v>
      </c>
      <c r="M91" s="82">
        <v>7.0000000000000007E-2</v>
      </c>
      <c r="N91" s="82">
        <f t="shared" si="3"/>
        <v>4.9000000000000007E-3</v>
      </c>
      <c r="O91" s="83" t="s">
        <v>30</v>
      </c>
      <c r="P91" s="84" t="s">
        <v>30</v>
      </c>
      <c r="S91" s="13" t="s">
        <v>5</v>
      </c>
      <c r="T91" s="3">
        <v>5.0000000000000001E-3</v>
      </c>
    </row>
    <row r="92" spans="1:24" ht="18.75">
      <c r="A92" s="13" t="s">
        <v>6</v>
      </c>
      <c r="B92" s="3">
        <v>1.486</v>
      </c>
      <c r="J92" s="81" t="s">
        <v>52</v>
      </c>
      <c r="K92" s="82" t="s">
        <v>55</v>
      </c>
      <c r="L92" s="82">
        <v>0.04</v>
      </c>
      <c r="M92" s="82">
        <v>0.09</v>
      </c>
      <c r="N92" s="82">
        <f t="shared" si="3"/>
        <v>8.0999999999999996E-3</v>
      </c>
      <c r="O92" s="83" t="s">
        <v>30</v>
      </c>
      <c r="P92" s="84" t="s">
        <v>30</v>
      </c>
      <c r="S92" s="13" t="s">
        <v>6</v>
      </c>
      <c r="T92" s="3">
        <v>1.486</v>
      </c>
    </row>
    <row r="93" spans="1:24" ht="18.75" thickBot="1">
      <c r="A93" s="13" t="s">
        <v>58</v>
      </c>
      <c r="B93" s="30">
        <f>($B$6*AVERAGE(E4:E5)/12)/(2*AVERAGE(E4:E5)/12+$B$6)</f>
        <v>0.29354838709677417</v>
      </c>
      <c r="J93" s="85" t="s">
        <v>52</v>
      </c>
      <c r="K93" s="86" t="s">
        <v>56</v>
      </c>
      <c r="L93" s="86">
        <v>0.04</v>
      </c>
      <c r="M93" s="86">
        <v>0.1</v>
      </c>
      <c r="N93" s="86">
        <f t="shared" si="3"/>
        <v>1.0000000000000002E-2</v>
      </c>
      <c r="O93" s="77">
        <f>AVERAGE(M74:M93)</f>
        <v>0.10550000000000001</v>
      </c>
      <c r="P93" s="78">
        <f>O93*$J$8*0.3048^2</f>
        <v>1.1281670985000002E-2</v>
      </c>
      <c r="S93" s="13" t="s">
        <v>58</v>
      </c>
      <c r="T93" s="30">
        <f>($B$6*AVERAGE(U4:U5)/12)/(2*AVERAGE(U4:U5)/12+$B$6)</f>
        <v>0.24869109947643978</v>
      </c>
    </row>
    <row r="94" spans="1:24">
      <c r="A94" s="13" t="s">
        <v>59</v>
      </c>
      <c r="B94" s="30">
        <f>B92*B93^(2/3)*SQRT(B91)/CONVERT(AVERAGE(F77),"m","ft")</f>
        <v>8.0835201376203356E-2</v>
      </c>
      <c r="S94" s="13" t="s">
        <v>59</v>
      </c>
      <c r="T94" s="132">
        <f>T92*T93^(2/3)*SQRT(T91)/CONVERT(AVERAGE(X77),"m","ft")</f>
        <v>4.7018450740451585E-2</v>
      </c>
    </row>
    <row r="96" spans="1:24" ht="15.75" thickBot="1">
      <c r="J96" s="41" t="s">
        <v>50</v>
      </c>
      <c r="M96" s="40" t="s">
        <v>49</v>
      </c>
    </row>
    <row r="97" spans="10:15" ht="18.75">
      <c r="J97" s="16" t="s">
        <v>41</v>
      </c>
      <c r="K97" s="17">
        <v>0.64500000000000002</v>
      </c>
      <c r="M97" s="16" t="s">
        <v>44</v>
      </c>
      <c r="N97" s="42">
        <f>$B$6*M4/12</f>
        <v>1.1510416666666667</v>
      </c>
    </row>
    <row r="98" spans="10:15" ht="18.75">
      <c r="J98" s="18" t="s">
        <v>42</v>
      </c>
      <c r="K98" s="8">
        <f>13.8*12</f>
        <v>165.60000000000002</v>
      </c>
      <c r="M98" s="18" t="s">
        <v>45</v>
      </c>
      <c r="N98" s="26">
        <f>$B$6*M5/12</f>
        <v>1.1510416666666667</v>
      </c>
    </row>
    <row r="99" spans="10:15" ht="19.5" thickBot="1">
      <c r="J99" s="27" t="s">
        <v>43</v>
      </c>
      <c r="K99" s="44">
        <f>K98*K97/144</f>
        <v>0.74175000000000013</v>
      </c>
      <c r="M99" s="18" t="s">
        <v>46</v>
      </c>
      <c r="N99" s="25">
        <f>CONVERT(O53,"m","ft")</f>
        <v>0.32972440944881903</v>
      </c>
    </row>
    <row r="100" spans="10:15" ht="18">
      <c r="M100" s="18" t="s">
        <v>47</v>
      </c>
      <c r="N100" s="25">
        <f>CONVERT(O93,"m","ft")</f>
        <v>0.34612860892388453</v>
      </c>
    </row>
    <row r="101" spans="10:15" ht="18">
      <c r="M101" s="18" t="s">
        <v>48</v>
      </c>
      <c r="N101" s="25">
        <f>CONVERT(O33,"m","ft")</f>
        <v>0.34120734908136491</v>
      </c>
    </row>
    <row r="102" spans="10:15" ht="18.75" thickBot="1">
      <c r="M102" s="127" t="s">
        <v>51</v>
      </c>
      <c r="N102" s="128">
        <f>2*(N99^2*N97-N100^2*N98)/(K99*N101^2)</f>
        <v>-0.29555208792443127</v>
      </c>
      <c r="O102" t="s">
        <v>74</v>
      </c>
    </row>
    <row r="103" spans="10:15" ht="18.75" thickBot="1">
      <c r="M103" s="27" t="s">
        <v>51</v>
      </c>
      <c r="N103" s="43">
        <f>2*(N97/20*SUM(N34:N53)/0.3048^2-N98/20*SUM(N74:N93)/0.3048^2)/(K99*N101^2)</f>
        <v>-0.45624060174742576</v>
      </c>
      <c r="O103" t="s">
        <v>75</v>
      </c>
    </row>
    <row r="104" spans="10:15" ht="18.75" thickBot="1">
      <c r="M104" s="27" t="s">
        <v>51</v>
      </c>
      <c r="N104" s="43">
        <f>2*(N97/20*SUM(N34:N53)/0.3048^2-N98/20*SUM(N54:N73)/0.3048^2)/(K99*N101^2)</f>
        <v>0.38020050145618933</v>
      </c>
      <c r="O104" t="s">
        <v>76</v>
      </c>
    </row>
    <row r="106" spans="10:15">
      <c r="J106" s="10" t="s">
        <v>57</v>
      </c>
    </row>
    <row r="107" spans="10:15" ht="18">
      <c r="J107" s="13" t="s">
        <v>5</v>
      </c>
      <c r="K107" s="3">
        <v>5.0000000000000001E-3</v>
      </c>
    </row>
    <row r="108" spans="10:15" ht="18.75">
      <c r="J108" s="13" t="s">
        <v>6</v>
      </c>
      <c r="K108" s="3">
        <v>1.486</v>
      </c>
    </row>
    <row r="109" spans="10:15" ht="18">
      <c r="J109" s="13" t="s">
        <v>58</v>
      </c>
      <c r="K109" s="30">
        <f>($B$6*AVERAGE(M4:M5)/12)/(2*AVERAGE(M4:M5)/12+$B$6)</f>
        <v>0.34858044164037855</v>
      </c>
    </row>
    <row r="110" spans="10:15">
      <c r="J110" s="13" t="s">
        <v>59</v>
      </c>
      <c r="K110" s="30">
        <f>K108*K109^(2/3)*SQRT(K107)/CONVERT(AVERAGE(O93),"m","ft")</f>
        <v>0.15036092605872908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zoomScaleNormal="100" workbookViewId="0">
      <selection activeCell="J91" sqref="J91"/>
    </sheetView>
  </sheetViews>
  <sheetFormatPr defaultRowHeight="15"/>
  <cols>
    <col min="2" max="2" width="11.85546875" customWidth="1"/>
    <col min="3" max="3" width="9.140625" customWidth="1"/>
    <col min="5" max="5" width="12.85546875" customWidth="1"/>
    <col min="6" max="7" width="10.28515625" customWidth="1"/>
  </cols>
  <sheetData>
    <row r="1" spans="1:8">
      <c r="A1" t="s">
        <v>374</v>
      </c>
    </row>
    <row r="2" spans="1:8" ht="15.75" thickBot="1">
      <c r="B2" s="9" t="s">
        <v>63</v>
      </c>
      <c r="C2" s="9"/>
      <c r="D2" s="28">
        <v>42223</v>
      </c>
    </row>
    <row r="3" spans="1:8" ht="15.75" thickBot="1">
      <c r="B3" s="16" t="s">
        <v>21</v>
      </c>
      <c r="C3" s="17" t="s">
        <v>31</v>
      </c>
    </row>
    <row r="4" spans="1:8" ht="18">
      <c r="B4" s="18" t="s">
        <v>5</v>
      </c>
      <c r="C4" s="8">
        <v>5.0000000000000001E-3</v>
      </c>
      <c r="E4" s="16" t="s">
        <v>34</v>
      </c>
      <c r="F4" s="17">
        <f>6+3/16</f>
        <v>6.1875</v>
      </c>
    </row>
    <row r="5" spans="1:8" ht="18">
      <c r="B5" s="18" t="s">
        <v>14</v>
      </c>
      <c r="C5" s="26">
        <v>5</v>
      </c>
      <c r="D5" t="s">
        <v>15</v>
      </c>
      <c r="E5" s="18" t="s">
        <v>35</v>
      </c>
      <c r="F5" s="8">
        <f>5+15/16</f>
        <v>5.9375</v>
      </c>
      <c r="H5" t="s">
        <v>232</v>
      </c>
    </row>
    <row r="6" spans="1:8" ht="18">
      <c r="B6" s="18" t="s">
        <v>23</v>
      </c>
      <c r="C6" s="8">
        <v>1</v>
      </c>
      <c r="E6" s="32" t="s">
        <v>38</v>
      </c>
      <c r="F6" s="25">
        <f>F7/0.3048</f>
        <v>0.81508366141732291</v>
      </c>
      <c r="H6">
        <f>CONVERT(F5,"in","m")</f>
        <v>0.15081249999999999</v>
      </c>
    </row>
    <row r="7" spans="1:8" ht="18">
      <c r="B7" s="18" t="s">
        <v>0</v>
      </c>
      <c r="C7" s="26">
        <f>AVERAGE(F4:F5)</f>
        <v>6.0625</v>
      </c>
      <c r="E7" s="32" t="s">
        <v>25</v>
      </c>
      <c r="F7" s="25">
        <f>AVERAGE(G29,G45,G61,G77)</f>
        <v>0.24843750000000003</v>
      </c>
      <c r="H7">
        <f>H6/4</f>
        <v>3.7703124999999997E-2</v>
      </c>
    </row>
    <row r="8" spans="1:8" ht="18.75">
      <c r="B8" s="18" t="s">
        <v>26</v>
      </c>
      <c r="C8" s="25">
        <f>C6*C7/12</f>
        <v>0.50520833333333337</v>
      </c>
      <c r="E8" s="32" t="s">
        <v>37</v>
      </c>
      <c r="F8" s="25">
        <f>F9/0.3048^3</f>
        <v>0.41178705811187671</v>
      </c>
      <c r="H8" s="12">
        <f>H6-0.5*H7</f>
        <v>0.13196093749999999</v>
      </c>
    </row>
    <row r="9" spans="1:8" ht="18.75" thickBot="1">
      <c r="B9" s="18" t="s">
        <v>27</v>
      </c>
      <c r="C9" s="26">
        <f>1+10/16</f>
        <v>1.625</v>
      </c>
      <c r="E9" s="33" t="s">
        <v>36</v>
      </c>
      <c r="F9" s="34">
        <f>AVERAGE(H29,H45,H61,H77)</f>
        <v>1.1660510953125003E-2</v>
      </c>
      <c r="H9" s="12">
        <f>H6-1.5*H7</f>
        <v>9.4257812499999996E-2</v>
      </c>
    </row>
    <row r="10" spans="1:8" ht="18">
      <c r="B10" s="18" t="s">
        <v>28</v>
      </c>
      <c r="C10" s="25">
        <f>SQRT(32.2)*C6*(C9/12)^(3/2)</f>
        <v>0.28277181196466955</v>
      </c>
      <c r="H10" s="12">
        <f>H6-2.5*H7</f>
        <v>5.6554687499999992E-2</v>
      </c>
    </row>
    <row r="11" spans="1:8" ht="18.75" thickBot="1">
      <c r="B11" s="27" t="s">
        <v>29</v>
      </c>
      <c r="C11" s="34">
        <f>C10*0.3048^3</f>
        <v>8.0072060199454197E-3</v>
      </c>
      <c r="E11" s="11"/>
      <c r="H11" s="12">
        <f>H6-3.5*H7</f>
        <v>1.8851562500000002E-2</v>
      </c>
    </row>
    <row r="12" spans="1:8" ht="15.75" thickBot="1"/>
    <row r="13" spans="1:8" ht="19.5" thickBot="1">
      <c r="B13" s="60" t="s">
        <v>7</v>
      </c>
      <c r="C13" s="61" t="s">
        <v>10</v>
      </c>
      <c r="D13" s="61" t="s">
        <v>8</v>
      </c>
      <c r="E13" s="61" t="s">
        <v>9</v>
      </c>
      <c r="F13" s="46" t="s">
        <v>73</v>
      </c>
      <c r="G13" s="61" t="s">
        <v>25</v>
      </c>
      <c r="H13" s="62" t="s">
        <v>3</v>
      </c>
    </row>
    <row r="14" spans="1:8">
      <c r="B14" s="71" t="s">
        <v>32</v>
      </c>
      <c r="C14" s="72" t="s">
        <v>53</v>
      </c>
      <c r="D14" s="72">
        <v>0.14000000000000001</v>
      </c>
      <c r="E14" s="72">
        <v>0.32</v>
      </c>
      <c r="F14" s="72">
        <f>E14^2</f>
        <v>0.1024</v>
      </c>
      <c r="G14" s="73" t="s">
        <v>30</v>
      </c>
      <c r="H14" s="74" t="s">
        <v>30</v>
      </c>
    </row>
    <row r="15" spans="1:8">
      <c r="B15" s="67" t="s">
        <v>32</v>
      </c>
      <c r="C15" s="68" t="s">
        <v>54</v>
      </c>
      <c r="D15" s="68">
        <v>0.14000000000000001</v>
      </c>
      <c r="E15" s="68">
        <v>0.27</v>
      </c>
      <c r="F15" s="68">
        <f>E15^2</f>
        <v>7.2900000000000006E-2</v>
      </c>
      <c r="G15" s="69" t="s">
        <v>30</v>
      </c>
      <c r="H15" s="70" t="s">
        <v>30</v>
      </c>
    </row>
    <row r="16" spans="1:8">
      <c r="B16" s="67" t="s">
        <v>32</v>
      </c>
      <c r="C16" s="68" t="s">
        <v>55</v>
      </c>
      <c r="D16" s="68">
        <v>0.14000000000000001</v>
      </c>
      <c r="E16" s="68">
        <v>0.28000000000000003</v>
      </c>
      <c r="F16" s="68">
        <f t="shared" ref="F16:F77" si="0">E16^2</f>
        <v>7.8400000000000011E-2</v>
      </c>
      <c r="G16" s="69" t="s">
        <v>30</v>
      </c>
      <c r="H16" s="70" t="s">
        <v>30</v>
      </c>
    </row>
    <row r="17" spans="2:8">
      <c r="B17" s="67" t="s">
        <v>32</v>
      </c>
      <c r="C17" s="68" t="s">
        <v>56</v>
      </c>
      <c r="D17" s="68">
        <v>0.14000000000000001</v>
      </c>
      <c r="E17" s="68">
        <v>0.33</v>
      </c>
      <c r="F17" s="68">
        <f t="shared" si="0"/>
        <v>0.10890000000000001</v>
      </c>
      <c r="G17" s="69" t="s">
        <v>30</v>
      </c>
      <c r="H17" s="70" t="s">
        <v>30</v>
      </c>
    </row>
    <row r="18" spans="2:8">
      <c r="B18" s="81" t="s">
        <v>32</v>
      </c>
      <c r="C18" s="82" t="s">
        <v>53</v>
      </c>
      <c r="D18" s="82">
        <v>0.1</v>
      </c>
      <c r="E18" s="82">
        <v>0.33</v>
      </c>
      <c r="F18" s="82">
        <f t="shared" si="0"/>
        <v>0.10890000000000001</v>
      </c>
      <c r="G18" s="83" t="s">
        <v>30</v>
      </c>
      <c r="H18" s="84" t="s">
        <v>30</v>
      </c>
    </row>
    <row r="19" spans="2:8">
      <c r="B19" s="81" t="s">
        <v>32</v>
      </c>
      <c r="C19" s="82" t="s">
        <v>54</v>
      </c>
      <c r="D19" s="82">
        <v>0.1</v>
      </c>
      <c r="E19" s="82">
        <v>0.27</v>
      </c>
      <c r="F19" s="82">
        <f t="shared" si="0"/>
        <v>7.2900000000000006E-2</v>
      </c>
      <c r="G19" s="83" t="s">
        <v>30</v>
      </c>
      <c r="H19" s="84" t="s">
        <v>30</v>
      </c>
    </row>
    <row r="20" spans="2:8">
      <c r="B20" s="81" t="s">
        <v>32</v>
      </c>
      <c r="C20" s="82" t="s">
        <v>55</v>
      </c>
      <c r="D20" s="82">
        <v>0.1</v>
      </c>
      <c r="E20" s="82">
        <v>0.2</v>
      </c>
      <c r="F20" s="82">
        <f t="shared" si="0"/>
        <v>4.0000000000000008E-2</v>
      </c>
      <c r="G20" s="83" t="s">
        <v>30</v>
      </c>
      <c r="H20" s="84" t="s">
        <v>30</v>
      </c>
    </row>
    <row r="21" spans="2:8">
      <c r="B21" s="81" t="s">
        <v>32</v>
      </c>
      <c r="C21" s="82" t="s">
        <v>56</v>
      </c>
      <c r="D21" s="82">
        <v>0.1</v>
      </c>
      <c r="E21" s="82">
        <v>0.27</v>
      </c>
      <c r="F21" s="82">
        <f t="shared" si="0"/>
        <v>7.2900000000000006E-2</v>
      </c>
      <c r="G21" s="83" t="s">
        <v>30</v>
      </c>
      <c r="H21" s="84" t="s">
        <v>30</v>
      </c>
    </row>
    <row r="22" spans="2:8">
      <c r="B22" s="67" t="s">
        <v>32</v>
      </c>
      <c r="C22" s="68" t="s">
        <v>53</v>
      </c>
      <c r="D22" s="68">
        <v>7.0000000000000007E-2</v>
      </c>
      <c r="E22" s="68">
        <v>0.3</v>
      </c>
      <c r="F22" s="68">
        <f t="shared" si="0"/>
        <v>0.09</v>
      </c>
      <c r="G22" s="69" t="s">
        <v>30</v>
      </c>
      <c r="H22" s="70" t="s">
        <v>30</v>
      </c>
    </row>
    <row r="23" spans="2:8">
      <c r="B23" s="67" t="s">
        <v>32</v>
      </c>
      <c r="C23" s="68" t="s">
        <v>54</v>
      </c>
      <c r="D23" s="68">
        <v>7.0000000000000007E-2</v>
      </c>
      <c r="E23" s="68">
        <v>0.24</v>
      </c>
      <c r="F23" s="68">
        <f t="shared" si="0"/>
        <v>5.7599999999999998E-2</v>
      </c>
      <c r="G23" s="69" t="s">
        <v>30</v>
      </c>
      <c r="H23" s="70" t="s">
        <v>30</v>
      </c>
    </row>
    <row r="24" spans="2:8">
      <c r="B24" s="67" t="s">
        <v>32</v>
      </c>
      <c r="C24" s="68" t="s">
        <v>55</v>
      </c>
      <c r="D24" s="68">
        <v>7.0000000000000007E-2</v>
      </c>
      <c r="E24" s="68">
        <v>0.16</v>
      </c>
      <c r="F24" s="68">
        <f t="shared" si="0"/>
        <v>2.5600000000000001E-2</v>
      </c>
      <c r="G24" s="69" t="s">
        <v>30</v>
      </c>
      <c r="H24" s="70" t="s">
        <v>30</v>
      </c>
    </row>
    <row r="25" spans="2:8">
      <c r="B25" s="67" t="s">
        <v>32</v>
      </c>
      <c r="C25" s="68" t="s">
        <v>56</v>
      </c>
      <c r="D25" s="68">
        <v>7.0000000000000007E-2</v>
      </c>
      <c r="E25" s="68">
        <v>0.24</v>
      </c>
      <c r="F25" s="68">
        <f t="shared" si="0"/>
        <v>5.7599999999999998E-2</v>
      </c>
      <c r="G25" s="69" t="s">
        <v>30</v>
      </c>
      <c r="H25" s="70" t="s">
        <v>30</v>
      </c>
    </row>
    <row r="26" spans="2:8">
      <c r="B26" s="81" t="s">
        <v>32</v>
      </c>
      <c r="C26" s="82" t="s">
        <v>53</v>
      </c>
      <c r="D26" s="82">
        <v>0.04</v>
      </c>
      <c r="E26" s="82">
        <v>0.28000000000000003</v>
      </c>
      <c r="F26" s="82">
        <f>E26^2</f>
        <v>7.8400000000000011E-2</v>
      </c>
      <c r="G26" s="83" t="s">
        <v>30</v>
      </c>
      <c r="H26" s="84" t="s">
        <v>30</v>
      </c>
    </row>
    <row r="27" spans="2:8">
      <c r="B27" s="81" t="s">
        <v>32</v>
      </c>
      <c r="C27" s="82" t="s">
        <v>54</v>
      </c>
      <c r="D27" s="82">
        <v>0.04</v>
      </c>
      <c r="E27" s="82">
        <v>0.21</v>
      </c>
      <c r="F27" s="82">
        <f t="shared" si="0"/>
        <v>4.4099999999999993E-2</v>
      </c>
      <c r="G27" s="83" t="s">
        <v>30</v>
      </c>
      <c r="H27" s="84" t="s">
        <v>30</v>
      </c>
    </row>
    <row r="28" spans="2:8">
      <c r="B28" s="81" t="s">
        <v>32</v>
      </c>
      <c r="C28" s="82" t="s">
        <v>55</v>
      </c>
      <c r="D28" s="82">
        <v>0.04</v>
      </c>
      <c r="E28" s="82">
        <v>0.15</v>
      </c>
      <c r="F28" s="82">
        <f t="shared" si="0"/>
        <v>2.2499999999999999E-2</v>
      </c>
      <c r="G28" s="83" t="s">
        <v>30</v>
      </c>
      <c r="H28" s="84" t="s">
        <v>30</v>
      </c>
    </row>
    <row r="29" spans="2:8" ht="15.75" thickBot="1">
      <c r="B29" s="105" t="s">
        <v>32</v>
      </c>
      <c r="C29" s="102" t="s">
        <v>56</v>
      </c>
      <c r="D29" s="102">
        <v>0.04</v>
      </c>
      <c r="E29" s="102">
        <v>0.22</v>
      </c>
      <c r="F29" s="102">
        <f t="shared" si="0"/>
        <v>4.8399999999999999E-2</v>
      </c>
      <c r="G29" s="75">
        <f>AVERAGE(E14:E29)</f>
        <v>0.25437500000000007</v>
      </c>
      <c r="H29" s="76">
        <f>G29*C8*0.3048^2</f>
        <v>1.1939189831250006E-2</v>
      </c>
    </row>
    <row r="30" spans="2:8">
      <c r="B30" s="71" t="s">
        <v>17</v>
      </c>
      <c r="C30" s="72" t="s">
        <v>53</v>
      </c>
      <c r="D30" s="72">
        <v>0.14000000000000001</v>
      </c>
      <c r="E30" s="72">
        <v>0.28999999999999998</v>
      </c>
      <c r="F30" s="72">
        <f t="shared" si="0"/>
        <v>8.4099999999999994E-2</v>
      </c>
      <c r="G30" s="73" t="s">
        <v>30</v>
      </c>
      <c r="H30" s="74" t="s">
        <v>30</v>
      </c>
    </row>
    <row r="31" spans="2:8">
      <c r="B31" s="67" t="s">
        <v>17</v>
      </c>
      <c r="C31" s="68" t="s">
        <v>54</v>
      </c>
      <c r="D31" s="68">
        <v>0.14000000000000001</v>
      </c>
      <c r="E31" s="68">
        <v>0.26</v>
      </c>
      <c r="F31" s="68">
        <f t="shared" si="0"/>
        <v>6.7600000000000007E-2</v>
      </c>
      <c r="G31" s="69" t="s">
        <v>30</v>
      </c>
      <c r="H31" s="70" t="s">
        <v>30</v>
      </c>
    </row>
    <row r="32" spans="2:8">
      <c r="B32" s="67" t="s">
        <v>17</v>
      </c>
      <c r="C32" s="68" t="s">
        <v>55</v>
      </c>
      <c r="D32" s="68">
        <v>0.14000000000000001</v>
      </c>
      <c r="E32" s="68">
        <v>0.28000000000000003</v>
      </c>
      <c r="F32" s="68">
        <f t="shared" si="0"/>
        <v>7.8400000000000011E-2</v>
      </c>
      <c r="G32" s="69" t="s">
        <v>30</v>
      </c>
      <c r="H32" s="70" t="s">
        <v>30</v>
      </c>
    </row>
    <row r="33" spans="2:8">
      <c r="B33" s="67" t="s">
        <v>17</v>
      </c>
      <c r="C33" s="68" t="s">
        <v>56</v>
      </c>
      <c r="D33" s="68">
        <v>0.14000000000000001</v>
      </c>
      <c r="E33" s="68">
        <v>0.32</v>
      </c>
      <c r="F33" s="68">
        <f t="shared" si="0"/>
        <v>0.1024</v>
      </c>
      <c r="G33" s="69" t="s">
        <v>30</v>
      </c>
      <c r="H33" s="70" t="s">
        <v>30</v>
      </c>
    </row>
    <row r="34" spans="2:8">
      <c r="B34" s="81" t="s">
        <v>17</v>
      </c>
      <c r="C34" s="82" t="s">
        <v>53</v>
      </c>
      <c r="D34" s="82">
        <v>0.1</v>
      </c>
      <c r="E34" s="82">
        <v>0.31</v>
      </c>
      <c r="F34" s="82">
        <f t="shared" si="0"/>
        <v>9.6100000000000005E-2</v>
      </c>
      <c r="G34" s="83" t="s">
        <v>30</v>
      </c>
      <c r="H34" s="84" t="s">
        <v>30</v>
      </c>
    </row>
    <row r="35" spans="2:8">
      <c r="B35" s="81" t="s">
        <v>17</v>
      </c>
      <c r="C35" s="82" t="s">
        <v>54</v>
      </c>
      <c r="D35" s="82">
        <v>0.1</v>
      </c>
      <c r="E35" s="82">
        <v>0.26</v>
      </c>
      <c r="F35" s="82">
        <f t="shared" si="0"/>
        <v>6.7600000000000007E-2</v>
      </c>
      <c r="G35" s="83" t="s">
        <v>30</v>
      </c>
      <c r="H35" s="84" t="s">
        <v>30</v>
      </c>
    </row>
    <row r="36" spans="2:8">
      <c r="B36" s="81" t="s">
        <v>17</v>
      </c>
      <c r="C36" s="82" t="s">
        <v>55</v>
      </c>
      <c r="D36" s="82">
        <v>0.1</v>
      </c>
      <c r="E36" s="82">
        <v>0.19</v>
      </c>
      <c r="F36" s="82">
        <f t="shared" si="0"/>
        <v>3.61E-2</v>
      </c>
      <c r="G36" s="83" t="s">
        <v>30</v>
      </c>
      <c r="H36" s="84" t="s">
        <v>30</v>
      </c>
    </row>
    <row r="37" spans="2:8">
      <c r="B37" s="81" t="s">
        <v>17</v>
      </c>
      <c r="C37" s="82" t="s">
        <v>56</v>
      </c>
      <c r="D37" s="82">
        <v>0.1</v>
      </c>
      <c r="E37" s="82">
        <v>0.25</v>
      </c>
      <c r="F37" s="82">
        <f t="shared" si="0"/>
        <v>6.25E-2</v>
      </c>
      <c r="G37" s="83" t="s">
        <v>30</v>
      </c>
      <c r="H37" s="84" t="s">
        <v>30</v>
      </c>
    </row>
    <row r="38" spans="2:8">
      <c r="B38" s="67" t="s">
        <v>17</v>
      </c>
      <c r="C38" s="68" t="s">
        <v>53</v>
      </c>
      <c r="D38" s="68">
        <v>7.0000000000000007E-2</v>
      </c>
      <c r="E38" s="68">
        <v>0.3</v>
      </c>
      <c r="F38" s="68">
        <f t="shared" si="0"/>
        <v>0.09</v>
      </c>
      <c r="G38" s="69" t="s">
        <v>30</v>
      </c>
      <c r="H38" s="70" t="s">
        <v>30</v>
      </c>
    </row>
    <row r="39" spans="2:8">
      <c r="B39" s="67" t="s">
        <v>17</v>
      </c>
      <c r="C39" s="68" t="s">
        <v>54</v>
      </c>
      <c r="D39" s="68">
        <v>7.0000000000000007E-2</v>
      </c>
      <c r="E39" s="68">
        <v>0.24</v>
      </c>
      <c r="F39" s="68">
        <f t="shared" si="0"/>
        <v>5.7599999999999998E-2</v>
      </c>
      <c r="G39" s="69" t="s">
        <v>30</v>
      </c>
      <c r="H39" s="70" t="s">
        <v>30</v>
      </c>
    </row>
    <row r="40" spans="2:8">
      <c r="B40" s="67" t="s">
        <v>17</v>
      </c>
      <c r="C40" s="68" t="s">
        <v>55</v>
      </c>
      <c r="D40" s="68">
        <v>7.0000000000000007E-2</v>
      </c>
      <c r="E40" s="68">
        <v>0.18</v>
      </c>
      <c r="F40" s="68">
        <f t="shared" si="0"/>
        <v>3.2399999999999998E-2</v>
      </c>
      <c r="G40" s="69" t="s">
        <v>30</v>
      </c>
      <c r="H40" s="70" t="s">
        <v>30</v>
      </c>
    </row>
    <row r="41" spans="2:8">
      <c r="B41" s="67" t="s">
        <v>17</v>
      </c>
      <c r="C41" s="68" t="s">
        <v>56</v>
      </c>
      <c r="D41" s="68">
        <v>7.0000000000000007E-2</v>
      </c>
      <c r="E41" s="68">
        <v>0.23</v>
      </c>
      <c r="F41" s="68">
        <f t="shared" si="0"/>
        <v>5.2900000000000003E-2</v>
      </c>
      <c r="G41" s="69" t="s">
        <v>30</v>
      </c>
      <c r="H41" s="70" t="s">
        <v>30</v>
      </c>
    </row>
    <row r="42" spans="2:8">
      <c r="B42" s="81" t="s">
        <v>17</v>
      </c>
      <c r="C42" s="82" t="s">
        <v>53</v>
      </c>
      <c r="D42" s="82">
        <v>0.04</v>
      </c>
      <c r="E42" s="82">
        <v>0.28999999999999998</v>
      </c>
      <c r="F42" s="82">
        <f t="shared" si="0"/>
        <v>8.4099999999999994E-2</v>
      </c>
      <c r="G42" s="83" t="s">
        <v>30</v>
      </c>
      <c r="H42" s="84" t="s">
        <v>30</v>
      </c>
    </row>
    <row r="43" spans="2:8">
      <c r="B43" s="81" t="s">
        <v>17</v>
      </c>
      <c r="C43" s="82" t="s">
        <v>54</v>
      </c>
      <c r="D43" s="82">
        <v>0.04</v>
      </c>
      <c r="E43" s="82">
        <v>0.26</v>
      </c>
      <c r="F43" s="82">
        <f t="shared" si="0"/>
        <v>6.7600000000000007E-2</v>
      </c>
      <c r="G43" s="83" t="s">
        <v>30</v>
      </c>
      <c r="H43" s="84" t="s">
        <v>30</v>
      </c>
    </row>
    <row r="44" spans="2:8">
      <c r="B44" s="81" t="s">
        <v>17</v>
      </c>
      <c r="C44" s="82" t="s">
        <v>55</v>
      </c>
      <c r="D44" s="82">
        <v>0.04</v>
      </c>
      <c r="E44" s="82">
        <v>0.16</v>
      </c>
      <c r="F44" s="82">
        <f t="shared" si="0"/>
        <v>2.5600000000000001E-2</v>
      </c>
      <c r="G44" s="83" t="s">
        <v>30</v>
      </c>
      <c r="H44" s="84" t="s">
        <v>30</v>
      </c>
    </row>
    <row r="45" spans="2:8" ht="15.75" thickBot="1">
      <c r="B45" s="85" t="s">
        <v>17</v>
      </c>
      <c r="C45" s="86" t="s">
        <v>56</v>
      </c>
      <c r="D45" s="86">
        <v>0.04</v>
      </c>
      <c r="E45" s="86">
        <v>0.19</v>
      </c>
      <c r="F45" s="86">
        <f t="shared" si="0"/>
        <v>3.61E-2</v>
      </c>
      <c r="G45" s="77">
        <f>AVERAGE(E30:E45)</f>
        <v>0.25062500000000004</v>
      </c>
      <c r="H45" s="78">
        <f>G45*$C$8*0.3048^2</f>
        <v>1.1763182118750003E-2</v>
      </c>
    </row>
    <row r="46" spans="2:8">
      <c r="B46" s="63" t="s">
        <v>19</v>
      </c>
      <c r="C46" s="64" t="s">
        <v>53</v>
      </c>
      <c r="D46" s="64">
        <v>0.14000000000000001</v>
      </c>
      <c r="E46" s="64">
        <v>0.26</v>
      </c>
      <c r="F46" s="64">
        <f t="shared" si="0"/>
        <v>6.7600000000000007E-2</v>
      </c>
      <c r="G46" s="65" t="s">
        <v>30</v>
      </c>
      <c r="H46" s="66" t="s">
        <v>30</v>
      </c>
    </row>
    <row r="47" spans="2:8">
      <c r="B47" s="67" t="s">
        <v>19</v>
      </c>
      <c r="C47" s="68" t="s">
        <v>54</v>
      </c>
      <c r="D47" s="68">
        <v>0.14000000000000001</v>
      </c>
      <c r="E47" s="68">
        <v>0.28000000000000003</v>
      </c>
      <c r="F47" s="68">
        <f t="shared" si="0"/>
        <v>7.8400000000000011E-2</v>
      </c>
      <c r="G47" s="69" t="s">
        <v>30</v>
      </c>
      <c r="H47" s="70" t="s">
        <v>30</v>
      </c>
    </row>
    <row r="48" spans="2:8">
      <c r="B48" s="67" t="s">
        <v>19</v>
      </c>
      <c r="C48" s="68" t="s">
        <v>55</v>
      </c>
      <c r="D48" s="68">
        <v>0.14000000000000001</v>
      </c>
      <c r="E48" s="68">
        <v>0.28000000000000003</v>
      </c>
      <c r="F48" s="68">
        <f t="shared" si="0"/>
        <v>7.8400000000000011E-2</v>
      </c>
      <c r="G48" s="69" t="s">
        <v>30</v>
      </c>
      <c r="H48" s="70" t="s">
        <v>30</v>
      </c>
    </row>
    <row r="49" spans="2:8">
      <c r="B49" s="67" t="s">
        <v>19</v>
      </c>
      <c r="C49" s="68" t="s">
        <v>56</v>
      </c>
      <c r="D49" s="68">
        <v>0.14000000000000001</v>
      </c>
      <c r="E49" s="68">
        <v>0.32</v>
      </c>
      <c r="F49" s="68">
        <f t="shared" si="0"/>
        <v>0.1024</v>
      </c>
      <c r="G49" s="69" t="s">
        <v>30</v>
      </c>
      <c r="H49" s="70" t="s">
        <v>30</v>
      </c>
    </row>
    <row r="50" spans="2:8">
      <c r="B50" s="81" t="s">
        <v>19</v>
      </c>
      <c r="C50" s="82" t="s">
        <v>53</v>
      </c>
      <c r="D50" s="82">
        <v>0.1</v>
      </c>
      <c r="E50" s="82">
        <v>0.28000000000000003</v>
      </c>
      <c r="F50" s="82">
        <f t="shared" si="0"/>
        <v>7.8400000000000011E-2</v>
      </c>
      <c r="G50" s="83" t="s">
        <v>30</v>
      </c>
      <c r="H50" s="84" t="s">
        <v>30</v>
      </c>
    </row>
    <row r="51" spans="2:8">
      <c r="B51" s="81" t="s">
        <v>19</v>
      </c>
      <c r="C51" s="82" t="s">
        <v>54</v>
      </c>
      <c r="D51" s="82">
        <v>0.1</v>
      </c>
      <c r="E51" s="82">
        <v>0.26</v>
      </c>
      <c r="F51" s="82">
        <f t="shared" si="0"/>
        <v>6.7600000000000007E-2</v>
      </c>
      <c r="G51" s="83" t="s">
        <v>30</v>
      </c>
      <c r="H51" s="84" t="s">
        <v>30</v>
      </c>
    </row>
    <row r="52" spans="2:8">
      <c r="B52" s="81" t="s">
        <v>19</v>
      </c>
      <c r="C52" s="82" t="s">
        <v>55</v>
      </c>
      <c r="D52" s="82">
        <v>0.1</v>
      </c>
      <c r="E52" s="82">
        <v>0.21</v>
      </c>
      <c r="F52" s="82">
        <f t="shared" si="0"/>
        <v>4.4099999999999993E-2</v>
      </c>
      <c r="G52" s="83" t="s">
        <v>30</v>
      </c>
      <c r="H52" s="84" t="s">
        <v>30</v>
      </c>
    </row>
    <row r="53" spans="2:8">
      <c r="B53" s="81" t="s">
        <v>19</v>
      </c>
      <c r="C53" s="82" t="s">
        <v>56</v>
      </c>
      <c r="D53" s="82">
        <v>0.1</v>
      </c>
      <c r="E53" s="82">
        <v>0.3</v>
      </c>
      <c r="F53" s="82">
        <f t="shared" si="0"/>
        <v>0.09</v>
      </c>
      <c r="G53" s="83" t="s">
        <v>30</v>
      </c>
      <c r="H53" s="84" t="s">
        <v>30</v>
      </c>
    </row>
    <row r="54" spans="2:8">
      <c r="B54" s="67" t="s">
        <v>19</v>
      </c>
      <c r="C54" s="68" t="s">
        <v>53</v>
      </c>
      <c r="D54" s="68">
        <v>7.0000000000000007E-2</v>
      </c>
      <c r="E54" s="68">
        <v>0.23</v>
      </c>
      <c r="F54" s="68">
        <f t="shared" si="0"/>
        <v>5.2900000000000003E-2</v>
      </c>
      <c r="G54" s="69" t="s">
        <v>30</v>
      </c>
      <c r="H54" s="70" t="s">
        <v>30</v>
      </c>
    </row>
    <row r="55" spans="2:8">
      <c r="B55" s="67" t="s">
        <v>19</v>
      </c>
      <c r="C55" s="68" t="s">
        <v>54</v>
      </c>
      <c r="D55" s="68">
        <v>7.0000000000000007E-2</v>
      </c>
      <c r="E55" s="68">
        <v>0.21</v>
      </c>
      <c r="F55" s="68">
        <f t="shared" si="0"/>
        <v>4.4099999999999993E-2</v>
      </c>
      <c r="G55" s="69" t="s">
        <v>30</v>
      </c>
      <c r="H55" s="70" t="s">
        <v>30</v>
      </c>
    </row>
    <row r="56" spans="2:8">
      <c r="B56" s="67" t="s">
        <v>19</v>
      </c>
      <c r="C56" s="68" t="s">
        <v>55</v>
      </c>
      <c r="D56" s="68">
        <v>7.0000000000000007E-2</v>
      </c>
      <c r="E56" s="68">
        <v>0.17</v>
      </c>
      <c r="F56" s="68">
        <f t="shared" si="0"/>
        <v>2.8900000000000006E-2</v>
      </c>
      <c r="G56" s="69" t="s">
        <v>30</v>
      </c>
      <c r="H56" s="70" t="s">
        <v>30</v>
      </c>
    </row>
    <row r="57" spans="2:8">
      <c r="B57" s="67" t="s">
        <v>19</v>
      </c>
      <c r="C57" s="68" t="s">
        <v>56</v>
      </c>
      <c r="D57" s="68">
        <v>7.0000000000000007E-2</v>
      </c>
      <c r="E57" s="68">
        <v>0.25</v>
      </c>
      <c r="F57" s="68">
        <f t="shared" si="0"/>
        <v>6.25E-2</v>
      </c>
      <c r="G57" s="69" t="s">
        <v>30</v>
      </c>
      <c r="H57" s="70" t="s">
        <v>30</v>
      </c>
    </row>
    <row r="58" spans="2:8">
      <c r="B58" s="81" t="s">
        <v>19</v>
      </c>
      <c r="C58" s="82" t="s">
        <v>53</v>
      </c>
      <c r="D58" s="82">
        <v>0.04</v>
      </c>
      <c r="E58" s="82">
        <v>0.22</v>
      </c>
      <c r="F58" s="82">
        <f t="shared" si="0"/>
        <v>4.8399999999999999E-2</v>
      </c>
      <c r="G58" s="83" t="s">
        <v>30</v>
      </c>
      <c r="H58" s="84" t="s">
        <v>30</v>
      </c>
    </row>
    <row r="59" spans="2:8">
      <c r="B59" s="81" t="s">
        <v>19</v>
      </c>
      <c r="C59" s="82" t="s">
        <v>54</v>
      </c>
      <c r="D59" s="82">
        <v>0.04</v>
      </c>
      <c r="E59" s="82">
        <v>0.2</v>
      </c>
      <c r="F59" s="82">
        <f t="shared" si="0"/>
        <v>4.0000000000000008E-2</v>
      </c>
      <c r="G59" s="83" t="s">
        <v>30</v>
      </c>
      <c r="H59" s="84" t="s">
        <v>30</v>
      </c>
    </row>
    <row r="60" spans="2:8">
      <c r="B60" s="81" t="s">
        <v>19</v>
      </c>
      <c r="C60" s="82" t="s">
        <v>55</v>
      </c>
      <c r="D60" s="82">
        <v>0.04</v>
      </c>
      <c r="E60" s="82">
        <v>0.17</v>
      </c>
      <c r="F60" s="82">
        <f t="shared" si="0"/>
        <v>2.8900000000000006E-2</v>
      </c>
      <c r="G60" s="83" t="s">
        <v>30</v>
      </c>
      <c r="H60" s="84" t="s">
        <v>30</v>
      </c>
    </row>
    <row r="61" spans="2:8" ht="15.75" thickBot="1">
      <c r="B61" s="105" t="s">
        <v>19</v>
      </c>
      <c r="C61" s="102" t="s">
        <v>56</v>
      </c>
      <c r="D61" s="102">
        <v>0.04</v>
      </c>
      <c r="E61" s="102">
        <v>0.24</v>
      </c>
      <c r="F61" s="102">
        <f t="shared" si="0"/>
        <v>5.7599999999999998E-2</v>
      </c>
      <c r="G61" s="75">
        <f>AVERAGE(E46:E61)</f>
        <v>0.24249999999999999</v>
      </c>
      <c r="H61" s="76">
        <f>G61*$C$8*0.3048^2</f>
        <v>1.1381832075000001E-2</v>
      </c>
    </row>
    <row r="62" spans="2:8">
      <c r="B62" s="71" t="s">
        <v>52</v>
      </c>
      <c r="C62" s="72" t="s">
        <v>53</v>
      </c>
      <c r="D62" s="72">
        <v>0.14000000000000001</v>
      </c>
      <c r="E62" s="72">
        <v>0.28000000000000003</v>
      </c>
      <c r="F62" s="72">
        <f t="shared" si="0"/>
        <v>7.8400000000000011E-2</v>
      </c>
      <c r="G62" s="73" t="s">
        <v>30</v>
      </c>
      <c r="H62" s="74" t="s">
        <v>30</v>
      </c>
    </row>
    <row r="63" spans="2:8">
      <c r="B63" s="67" t="s">
        <v>52</v>
      </c>
      <c r="C63" s="68" t="s">
        <v>54</v>
      </c>
      <c r="D63" s="68">
        <v>0.14000000000000001</v>
      </c>
      <c r="E63" s="68">
        <v>0.28000000000000003</v>
      </c>
      <c r="F63" s="68">
        <f t="shared" si="0"/>
        <v>7.8400000000000011E-2</v>
      </c>
      <c r="G63" s="69" t="s">
        <v>30</v>
      </c>
      <c r="H63" s="70" t="s">
        <v>30</v>
      </c>
    </row>
    <row r="64" spans="2:8">
      <c r="B64" s="67" t="s">
        <v>52</v>
      </c>
      <c r="C64" s="68" t="s">
        <v>55</v>
      </c>
      <c r="D64" s="68">
        <v>0.14000000000000001</v>
      </c>
      <c r="E64" s="68">
        <v>0.27</v>
      </c>
      <c r="F64" s="68">
        <f t="shared" si="0"/>
        <v>7.2900000000000006E-2</v>
      </c>
      <c r="G64" s="69" t="s">
        <v>30</v>
      </c>
      <c r="H64" s="70" t="s">
        <v>30</v>
      </c>
    </row>
    <row r="65" spans="2:8">
      <c r="B65" s="67" t="s">
        <v>52</v>
      </c>
      <c r="C65" s="68" t="s">
        <v>56</v>
      </c>
      <c r="D65" s="68">
        <v>0.14000000000000001</v>
      </c>
      <c r="E65" s="68">
        <v>0.28000000000000003</v>
      </c>
      <c r="F65" s="68">
        <f t="shared" si="0"/>
        <v>7.8400000000000011E-2</v>
      </c>
      <c r="G65" s="69" t="s">
        <v>30</v>
      </c>
      <c r="H65" s="70" t="s">
        <v>30</v>
      </c>
    </row>
    <row r="66" spans="2:8">
      <c r="B66" s="81" t="s">
        <v>52</v>
      </c>
      <c r="C66" s="82" t="s">
        <v>53</v>
      </c>
      <c r="D66" s="82">
        <v>0.1</v>
      </c>
      <c r="E66" s="82">
        <v>0.26</v>
      </c>
      <c r="F66" s="82">
        <f t="shared" si="0"/>
        <v>6.7600000000000007E-2</v>
      </c>
      <c r="G66" s="83" t="s">
        <v>30</v>
      </c>
      <c r="H66" s="84" t="s">
        <v>30</v>
      </c>
    </row>
    <row r="67" spans="2:8">
      <c r="B67" s="81" t="s">
        <v>52</v>
      </c>
      <c r="C67" s="82" t="s">
        <v>54</v>
      </c>
      <c r="D67" s="82">
        <v>0.1</v>
      </c>
      <c r="E67" s="82">
        <v>0.25</v>
      </c>
      <c r="F67" s="82">
        <f t="shared" si="0"/>
        <v>6.25E-2</v>
      </c>
      <c r="G67" s="83" t="s">
        <v>30</v>
      </c>
      <c r="H67" s="84" t="s">
        <v>30</v>
      </c>
    </row>
    <row r="68" spans="2:8">
      <c r="B68" s="81" t="s">
        <v>52</v>
      </c>
      <c r="C68" s="82" t="s">
        <v>55</v>
      </c>
      <c r="D68" s="82">
        <v>0.1</v>
      </c>
      <c r="E68" s="82">
        <v>0.21</v>
      </c>
      <c r="F68" s="82">
        <f t="shared" si="0"/>
        <v>4.4099999999999993E-2</v>
      </c>
      <c r="G68" s="83" t="s">
        <v>30</v>
      </c>
      <c r="H68" s="84" t="s">
        <v>30</v>
      </c>
    </row>
    <row r="69" spans="2:8">
      <c r="B69" s="81" t="s">
        <v>52</v>
      </c>
      <c r="C69" s="82" t="s">
        <v>56</v>
      </c>
      <c r="D69" s="82">
        <v>0.1</v>
      </c>
      <c r="E69" s="82">
        <v>0.28999999999999998</v>
      </c>
      <c r="F69" s="82">
        <f t="shared" si="0"/>
        <v>8.4099999999999994E-2</v>
      </c>
      <c r="G69" s="83" t="s">
        <v>30</v>
      </c>
      <c r="H69" s="84" t="s">
        <v>30</v>
      </c>
    </row>
    <row r="70" spans="2:8">
      <c r="B70" s="67" t="s">
        <v>52</v>
      </c>
      <c r="C70" s="68" t="s">
        <v>53</v>
      </c>
      <c r="D70" s="68">
        <v>7.0000000000000007E-2</v>
      </c>
      <c r="E70" s="68">
        <v>0.24</v>
      </c>
      <c r="F70" s="68">
        <f t="shared" si="0"/>
        <v>5.7599999999999998E-2</v>
      </c>
      <c r="G70" s="69" t="s">
        <v>30</v>
      </c>
      <c r="H70" s="70" t="s">
        <v>30</v>
      </c>
    </row>
    <row r="71" spans="2:8">
      <c r="B71" s="67" t="s">
        <v>52</v>
      </c>
      <c r="C71" s="68" t="s">
        <v>54</v>
      </c>
      <c r="D71" s="68">
        <v>7.0000000000000007E-2</v>
      </c>
      <c r="E71" s="68">
        <v>0.25</v>
      </c>
      <c r="F71" s="68">
        <f t="shared" si="0"/>
        <v>6.25E-2</v>
      </c>
      <c r="G71" s="69" t="s">
        <v>30</v>
      </c>
      <c r="H71" s="70" t="s">
        <v>30</v>
      </c>
    </row>
    <row r="72" spans="2:8">
      <c r="B72" s="67" t="s">
        <v>52</v>
      </c>
      <c r="C72" s="68" t="s">
        <v>55</v>
      </c>
      <c r="D72" s="68">
        <v>7.0000000000000007E-2</v>
      </c>
      <c r="E72" s="68">
        <v>0.19</v>
      </c>
      <c r="F72" s="68">
        <f t="shared" si="0"/>
        <v>3.61E-2</v>
      </c>
      <c r="G72" s="69" t="s">
        <v>30</v>
      </c>
      <c r="H72" s="70" t="s">
        <v>30</v>
      </c>
    </row>
    <row r="73" spans="2:8">
      <c r="B73" s="67" t="s">
        <v>52</v>
      </c>
      <c r="C73" s="68" t="s">
        <v>56</v>
      </c>
      <c r="D73" s="68">
        <v>7.0000000000000007E-2</v>
      </c>
      <c r="E73" s="68">
        <v>0.23</v>
      </c>
      <c r="F73" s="68">
        <f t="shared" si="0"/>
        <v>5.2900000000000003E-2</v>
      </c>
      <c r="G73" s="69" t="s">
        <v>30</v>
      </c>
      <c r="H73" s="70" t="s">
        <v>30</v>
      </c>
    </row>
    <row r="74" spans="2:8">
      <c r="B74" s="81" t="s">
        <v>52</v>
      </c>
      <c r="C74" s="82" t="s">
        <v>53</v>
      </c>
      <c r="D74" s="82">
        <v>0.04</v>
      </c>
      <c r="E74" s="82">
        <v>0.24</v>
      </c>
      <c r="F74" s="82">
        <f t="shared" si="0"/>
        <v>5.7599999999999998E-2</v>
      </c>
      <c r="G74" s="83" t="s">
        <v>30</v>
      </c>
      <c r="H74" s="84" t="s">
        <v>30</v>
      </c>
    </row>
    <row r="75" spans="2:8">
      <c r="B75" s="81" t="s">
        <v>52</v>
      </c>
      <c r="C75" s="82" t="s">
        <v>54</v>
      </c>
      <c r="D75" s="82">
        <v>0.04</v>
      </c>
      <c r="E75" s="82">
        <v>0.23</v>
      </c>
      <c r="F75" s="82">
        <f t="shared" si="0"/>
        <v>5.2900000000000003E-2</v>
      </c>
      <c r="G75" s="83" t="s">
        <v>30</v>
      </c>
      <c r="H75" s="84" t="s">
        <v>30</v>
      </c>
    </row>
    <row r="76" spans="2:8">
      <c r="B76" s="81" t="s">
        <v>52</v>
      </c>
      <c r="C76" s="82" t="s">
        <v>55</v>
      </c>
      <c r="D76" s="82">
        <v>0.04</v>
      </c>
      <c r="E76" s="82">
        <v>0.18</v>
      </c>
      <c r="F76" s="82">
        <f t="shared" si="0"/>
        <v>3.2399999999999998E-2</v>
      </c>
      <c r="G76" s="83" t="s">
        <v>30</v>
      </c>
      <c r="H76" s="84" t="s">
        <v>30</v>
      </c>
    </row>
    <row r="77" spans="2:8" ht="15.75" thickBot="1">
      <c r="B77" s="85" t="s">
        <v>52</v>
      </c>
      <c r="C77" s="86" t="s">
        <v>56</v>
      </c>
      <c r="D77" s="86">
        <v>0.04</v>
      </c>
      <c r="E77" s="86">
        <v>0.26</v>
      </c>
      <c r="F77" s="86">
        <f t="shared" si="0"/>
        <v>6.7600000000000007E-2</v>
      </c>
      <c r="G77" s="77">
        <f>AVERAGE(E62:E77)</f>
        <v>0.24625000000000002</v>
      </c>
      <c r="H77" s="78">
        <f>G77*$C$8*0.3048^2</f>
        <v>1.1557839787500003E-2</v>
      </c>
    </row>
    <row r="80" spans="2:8" ht="15.75" thickBot="1">
      <c r="B80" s="41" t="s">
        <v>50</v>
      </c>
      <c r="E80" s="40" t="s">
        <v>49</v>
      </c>
    </row>
    <row r="81" spans="2:7" ht="18.75">
      <c r="B81" s="16" t="s">
        <v>41</v>
      </c>
      <c r="C81" s="17">
        <v>0.58299999999999996</v>
      </c>
      <c r="E81" s="16" t="s">
        <v>44</v>
      </c>
      <c r="F81" s="42">
        <f>F4/12</f>
        <v>0.515625</v>
      </c>
    </row>
    <row r="82" spans="2:7" ht="18.75">
      <c r="B82" s="18" t="s">
        <v>42</v>
      </c>
      <c r="C82" s="8">
        <v>72</v>
      </c>
      <c r="E82" s="18" t="s">
        <v>45</v>
      </c>
      <c r="F82" s="26">
        <f>F5/12</f>
        <v>0.49479166666666669</v>
      </c>
    </row>
    <row r="83" spans="2:7" ht="19.5" thickBot="1">
      <c r="B83" s="27" t="s">
        <v>43</v>
      </c>
      <c r="C83" s="44">
        <f>C82*C81/144</f>
        <v>0.29149999999999998</v>
      </c>
      <c r="E83" s="18" t="s">
        <v>46</v>
      </c>
      <c r="F83" s="25">
        <f>CONVERT(G45,"m","ft")</f>
        <v>0.82226049868766415</v>
      </c>
    </row>
    <row r="84" spans="2:7" ht="18">
      <c r="E84" s="18" t="s">
        <v>47</v>
      </c>
      <c r="F84" s="25">
        <f>CONVERT(G77,"m","ft")</f>
        <v>0.80790682414698178</v>
      </c>
    </row>
    <row r="85" spans="2:7" ht="18">
      <c r="E85" s="18" t="s">
        <v>48</v>
      </c>
      <c r="F85" s="25">
        <f>CONVERT(G29,"m","ft")</f>
        <v>0.83456364829396357</v>
      </c>
    </row>
    <row r="86" spans="2:7" ht="18.75" thickBot="1">
      <c r="E86" s="127" t="s">
        <v>51</v>
      </c>
      <c r="F86" s="128">
        <f>2*(F83^2*F81-F84^2*F82)/(C83*F85^2)</f>
        <v>0.25280412800905311</v>
      </c>
      <c r="G86" t="s">
        <v>74</v>
      </c>
    </row>
    <row r="87" spans="2:7" ht="18.75" thickBot="1">
      <c r="E87" s="27" t="s">
        <v>51</v>
      </c>
      <c r="F87" s="43">
        <f>2*(F81/16*SUM(F30:F45)/0.3048^2-F82/16*SUM(F62:F77)/0.3048^2)/(C83*F85^2)</f>
        <v>0.32441311346912677</v>
      </c>
      <c r="G87" t="s">
        <v>75</v>
      </c>
    </row>
    <row r="88" spans="2:7" ht="18.75" thickBot="1">
      <c r="E88" s="27" t="s">
        <v>51</v>
      </c>
      <c r="F88" s="43">
        <f>2*(F81/16*SUM(F30:F45)/0.3048^2-F82/16*SUM(F46:F61)/0.3048^2)/(C83*F85^2)</f>
        <v>0.37622173823555272</v>
      </c>
      <c r="G88" t="s">
        <v>76</v>
      </c>
    </row>
    <row r="90" spans="2:7">
      <c r="B90" s="10" t="s">
        <v>57</v>
      </c>
    </row>
    <row r="91" spans="2:7" ht="18">
      <c r="B91" s="13" t="s">
        <v>5</v>
      </c>
      <c r="C91" s="3">
        <v>5.0000000000000001E-3</v>
      </c>
    </row>
    <row r="92" spans="2:7" ht="18.75">
      <c r="B92" s="13" t="s">
        <v>6</v>
      </c>
      <c r="C92" s="3">
        <v>1.486</v>
      </c>
    </row>
    <row r="93" spans="2:7" ht="18">
      <c r="B93" s="13" t="s">
        <v>58</v>
      </c>
      <c r="C93" s="30">
        <f>(C6*AVERAGE(F4:F5)/12)/(2*AVERAGE(F4:F5)/12+C6)</f>
        <v>0.25129533678756477</v>
      </c>
    </row>
    <row r="94" spans="2:7">
      <c r="B94" s="13" t="s">
        <v>59</v>
      </c>
      <c r="C94" s="30">
        <f>C92*C93^(2/3)*SQRT(C91)/CONVERT(AVERAGE(G77),"m","ft")</f>
        <v>5.179233464330428E-2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workbookViewId="0"/>
  </sheetViews>
  <sheetFormatPr defaultRowHeight="15"/>
  <cols>
    <col min="1" max="1" width="12.28515625" customWidth="1"/>
    <col min="3" max="3" width="13.28515625" customWidth="1"/>
    <col min="4" max="4" width="10" customWidth="1"/>
    <col min="5" max="5" width="11.85546875" customWidth="1"/>
    <col min="6" max="6" width="20.5703125" bestFit="1" customWidth="1"/>
    <col min="8" max="8" width="12.5703125" customWidth="1"/>
    <col min="9" max="9" width="12" customWidth="1"/>
    <col min="10" max="10" width="12.85546875" customWidth="1"/>
    <col min="11" max="11" width="12.28515625" customWidth="1"/>
    <col min="12" max="12" width="11.7109375" customWidth="1"/>
    <col min="13" max="13" width="10.140625" customWidth="1"/>
    <col min="16" max="16" width="18.7109375" bestFit="1" customWidth="1"/>
    <col min="17" max="17" width="11.85546875" customWidth="1"/>
    <col min="18" max="18" width="9.140625" customWidth="1"/>
    <col min="20" max="20" width="10.42578125" customWidth="1"/>
    <col min="21" max="21" width="10.28515625" customWidth="1"/>
  </cols>
  <sheetData>
    <row r="1" spans="1:25">
      <c r="A1" t="s">
        <v>374</v>
      </c>
    </row>
    <row r="2" spans="1:25" ht="15.75" thickBot="1">
      <c r="A2" s="9" t="s">
        <v>33</v>
      </c>
      <c r="B2" s="9"/>
      <c r="C2" s="28">
        <v>42220</v>
      </c>
      <c r="I2" s="9" t="s">
        <v>33</v>
      </c>
      <c r="J2" s="9"/>
      <c r="K2" s="38">
        <v>42222</v>
      </c>
      <c r="Q2" s="106"/>
      <c r="R2" s="106"/>
      <c r="S2" s="107"/>
      <c r="T2" s="108"/>
      <c r="U2" s="108"/>
      <c r="V2" s="108"/>
      <c r="W2" s="108"/>
    </row>
    <row r="3" spans="1:25" ht="15.75" thickBot="1">
      <c r="A3" s="16" t="s">
        <v>21</v>
      </c>
      <c r="B3" s="17" t="s">
        <v>22</v>
      </c>
      <c r="I3" s="16" t="s">
        <v>21</v>
      </c>
      <c r="J3" s="17" t="s">
        <v>39</v>
      </c>
      <c r="Q3" s="109"/>
      <c r="R3" s="87"/>
      <c r="S3" s="108"/>
      <c r="T3" s="108"/>
      <c r="U3" s="108"/>
      <c r="V3" s="108"/>
      <c r="W3" s="108"/>
    </row>
    <row r="4" spans="1:25" ht="18">
      <c r="A4" s="18" t="s">
        <v>5</v>
      </c>
      <c r="B4" s="8">
        <v>5.0000000000000001E-3</v>
      </c>
      <c r="D4" s="16" t="s">
        <v>34</v>
      </c>
      <c r="E4" s="17">
        <f>8+7/16</f>
        <v>8.4375</v>
      </c>
      <c r="I4" s="18" t="s">
        <v>5</v>
      </c>
      <c r="J4" s="8">
        <v>5.0000000000000001E-3</v>
      </c>
      <c r="L4" s="16" t="s">
        <v>34</v>
      </c>
      <c r="M4" s="17">
        <f>14+1/16</f>
        <v>14.0625</v>
      </c>
      <c r="Q4" s="109"/>
      <c r="R4" s="87"/>
      <c r="S4" s="108"/>
      <c r="T4" s="109"/>
      <c r="U4" s="87"/>
      <c r="V4" s="108"/>
      <c r="W4" s="108"/>
    </row>
    <row r="5" spans="1:25" ht="18">
      <c r="A5" s="18" t="s">
        <v>14</v>
      </c>
      <c r="B5" s="26">
        <v>5</v>
      </c>
      <c r="C5" t="s">
        <v>15</v>
      </c>
      <c r="D5" s="18" t="s">
        <v>35</v>
      </c>
      <c r="E5" s="8">
        <f>8+7/16</f>
        <v>8.4375</v>
      </c>
      <c r="I5" s="18" t="s">
        <v>14</v>
      </c>
      <c r="J5" s="26">
        <v>5</v>
      </c>
      <c r="K5" t="s">
        <v>15</v>
      </c>
      <c r="L5" s="18" t="s">
        <v>35</v>
      </c>
      <c r="M5" s="8">
        <f>14+1/8</f>
        <v>14.125</v>
      </c>
      <c r="Q5" s="109"/>
      <c r="R5" s="89"/>
      <c r="S5" s="108"/>
      <c r="T5" s="109"/>
      <c r="U5" s="87"/>
      <c r="V5" s="108"/>
      <c r="W5" s="108"/>
    </row>
    <row r="6" spans="1:25" ht="18">
      <c r="A6" s="18" t="s">
        <v>23</v>
      </c>
      <c r="B6" s="8">
        <v>1</v>
      </c>
      <c r="D6" s="32" t="s">
        <v>38</v>
      </c>
      <c r="E6" s="25">
        <f>E7/0.3048</f>
        <v>0.63429571303587029</v>
      </c>
      <c r="I6" s="18" t="s">
        <v>23</v>
      </c>
      <c r="J6" s="8">
        <v>1</v>
      </c>
      <c r="L6" s="32" t="s">
        <v>38</v>
      </c>
      <c r="M6" s="25">
        <f>M7/0.3048</f>
        <v>0.38428356177700013</v>
      </c>
      <c r="Q6" s="109"/>
      <c r="R6" s="87"/>
      <c r="S6" s="108"/>
      <c r="T6" s="39"/>
      <c r="U6" s="88"/>
      <c r="V6" s="108"/>
      <c r="W6" s="108"/>
    </row>
    <row r="7" spans="1:25" ht="18">
      <c r="A7" s="18" t="s">
        <v>0</v>
      </c>
      <c r="B7" s="8">
        <f>AVERAGE(E4:E5)</f>
        <v>8.4375</v>
      </c>
      <c r="D7" s="32" t="s">
        <v>25</v>
      </c>
      <c r="E7" s="25">
        <f>AVERAGE(F22,F31,F40)</f>
        <v>0.19333333333333327</v>
      </c>
      <c r="I7" s="18" t="s">
        <v>0</v>
      </c>
      <c r="J7" s="8">
        <f>AVERAGE(M4:M5)</f>
        <v>14.09375</v>
      </c>
      <c r="L7" s="32" t="s">
        <v>25</v>
      </c>
      <c r="M7" s="25">
        <f>AVERAGE(O22,O31,O40)</f>
        <v>0.11712962962962964</v>
      </c>
      <c r="Q7" s="109"/>
      <c r="R7" s="87"/>
      <c r="S7" s="108"/>
      <c r="T7" s="39"/>
      <c r="U7" s="88"/>
      <c r="V7" s="108"/>
      <c r="W7" s="108"/>
    </row>
    <row r="8" spans="1:25" ht="18.75">
      <c r="A8" s="18" t="s">
        <v>26</v>
      </c>
      <c r="B8" s="25">
        <f>B6*B7/12</f>
        <v>0.703125</v>
      </c>
      <c r="D8" s="32" t="s">
        <v>37</v>
      </c>
      <c r="E8" s="25">
        <f>E9/0.3048^3</f>
        <v>0.4459891732283463</v>
      </c>
      <c r="I8" s="18" t="s">
        <v>26</v>
      </c>
      <c r="J8" s="25">
        <f>J6*J7/12</f>
        <v>1.1744791666666667</v>
      </c>
      <c r="L8" s="32" t="s">
        <v>37</v>
      </c>
      <c r="M8" s="25">
        <f>M9/0.3048^3</f>
        <v>0.26144192913385828</v>
      </c>
      <c r="Q8" s="109"/>
      <c r="R8" s="88"/>
      <c r="S8" s="108"/>
      <c r="T8" s="39"/>
      <c r="U8" s="88"/>
      <c r="V8" s="108"/>
      <c r="W8" s="108"/>
    </row>
    <row r="9" spans="1:25" ht="18.75" thickBot="1">
      <c r="A9" s="18" t="s">
        <v>27</v>
      </c>
      <c r="B9" s="26">
        <v>1.75</v>
      </c>
      <c r="D9" s="33" t="s">
        <v>36</v>
      </c>
      <c r="E9" s="34">
        <f>AVERAGE(G22,G31,G40)</f>
        <v>1.2629006999999998E-2</v>
      </c>
      <c r="I9" s="18" t="s">
        <v>27</v>
      </c>
      <c r="J9" s="26">
        <v>1.75</v>
      </c>
      <c r="L9" s="33" t="s">
        <v>36</v>
      </c>
      <c r="M9" s="34">
        <f>AVERAGE(P40)</f>
        <v>7.4032110000000016E-3</v>
      </c>
      <c r="O9" s="12"/>
      <c r="Q9" s="109"/>
      <c r="R9" s="89"/>
      <c r="S9" s="108"/>
      <c r="T9" s="39"/>
      <c r="U9" s="110"/>
      <c r="V9" s="108"/>
      <c r="W9" s="108"/>
    </row>
    <row r="10" spans="1:25" ht="18">
      <c r="A10" s="18" t="s">
        <v>28</v>
      </c>
      <c r="B10" s="25">
        <f>SQRT(32.2)*B6*(B9/12)^(3/2)</f>
        <v>0.31601896021851694</v>
      </c>
      <c r="I10" s="18" t="s">
        <v>28</v>
      </c>
      <c r="J10" s="25">
        <f>SQRT(32.2)*J6*(J9/12)^(3/2)</f>
        <v>0.31601896021851694</v>
      </c>
      <c r="O10" s="12"/>
      <c r="Q10" s="109"/>
      <c r="R10" s="88"/>
      <c r="S10" s="108"/>
      <c r="T10" s="108"/>
      <c r="U10" s="108"/>
      <c r="V10" s="108"/>
      <c r="W10" s="108"/>
    </row>
    <row r="11" spans="1:25" ht="18.75" thickBot="1">
      <c r="A11" s="27" t="s">
        <v>29</v>
      </c>
      <c r="B11" s="34">
        <f>B10*0.3048^3</f>
        <v>8.9486604166710958E-3</v>
      </c>
      <c r="D11" s="11"/>
      <c r="G11" s="12"/>
      <c r="I11" s="27" t="s">
        <v>29</v>
      </c>
      <c r="J11" s="34">
        <f>J10*0.3048^3</f>
        <v>8.9486604166710958E-3</v>
      </c>
      <c r="L11" s="11"/>
      <c r="O11" s="12"/>
      <c r="Q11" s="109"/>
      <c r="R11" s="110"/>
      <c r="S11" s="108"/>
      <c r="T11" s="111"/>
      <c r="U11" s="108"/>
      <c r="V11" s="108"/>
      <c r="W11" s="108"/>
    </row>
    <row r="12" spans="1:25" ht="15.75" thickBot="1">
      <c r="G12" s="12"/>
      <c r="Q12" s="108"/>
      <c r="R12" s="108"/>
      <c r="S12" s="108"/>
      <c r="T12" s="108"/>
      <c r="U12" s="108"/>
      <c r="V12" s="108"/>
      <c r="W12" s="108"/>
    </row>
    <row r="13" spans="1:25" ht="19.5" thickBot="1">
      <c r="A13" s="45" t="s">
        <v>7</v>
      </c>
      <c r="B13" s="46" t="s">
        <v>10</v>
      </c>
      <c r="C13" s="46" t="s">
        <v>8</v>
      </c>
      <c r="D13" s="46" t="s">
        <v>9</v>
      </c>
      <c r="E13" s="46" t="s">
        <v>73</v>
      </c>
      <c r="F13" s="46" t="s">
        <v>25</v>
      </c>
      <c r="G13" s="47" t="s">
        <v>3</v>
      </c>
      <c r="H13" s="12"/>
      <c r="J13" s="45" t="s">
        <v>7</v>
      </c>
      <c r="K13" s="46" t="s">
        <v>10</v>
      </c>
      <c r="L13" s="46" t="s">
        <v>8</v>
      </c>
      <c r="M13" s="46" t="s">
        <v>9</v>
      </c>
      <c r="N13" s="46" t="s">
        <v>73</v>
      </c>
      <c r="O13" s="46" t="s">
        <v>25</v>
      </c>
      <c r="P13" s="47" t="s">
        <v>3</v>
      </c>
      <c r="S13" s="39"/>
      <c r="T13" s="39"/>
      <c r="U13" s="39"/>
      <c r="V13" s="39"/>
      <c r="W13" s="39"/>
      <c r="X13" s="39"/>
      <c r="Y13" s="108"/>
    </row>
    <row r="14" spans="1:25">
      <c r="A14" s="48" t="s">
        <v>16</v>
      </c>
      <c r="B14" s="49" t="s">
        <v>11</v>
      </c>
      <c r="C14" s="49">
        <v>0.18</v>
      </c>
      <c r="D14" s="49">
        <v>0.21</v>
      </c>
      <c r="E14" s="49">
        <f>D14^2</f>
        <v>4.4099999999999993E-2</v>
      </c>
      <c r="F14" s="50" t="s">
        <v>30</v>
      </c>
      <c r="G14" s="51" t="s">
        <v>30</v>
      </c>
      <c r="J14" s="48" t="s">
        <v>16</v>
      </c>
      <c r="K14" s="49" t="s">
        <v>11</v>
      </c>
      <c r="L14" s="49">
        <v>0.3</v>
      </c>
      <c r="M14" s="49">
        <v>0.2</v>
      </c>
      <c r="N14" s="49">
        <f>M14^2</f>
        <v>4.0000000000000008E-2</v>
      </c>
      <c r="O14" s="50" t="s">
        <v>30</v>
      </c>
      <c r="P14" s="51" t="s">
        <v>30</v>
      </c>
      <c r="S14" s="87"/>
      <c r="T14" s="87"/>
      <c r="U14" s="87"/>
      <c r="V14" s="87"/>
      <c r="W14" s="112"/>
      <c r="X14" s="112"/>
      <c r="Y14" s="108"/>
    </row>
    <row r="15" spans="1:25">
      <c r="A15" s="5" t="s">
        <v>16</v>
      </c>
      <c r="B15" s="3" t="s">
        <v>11</v>
      </c>
      <c r="C15" s="3">
        <v>0.11</v>
      </c>
      <c r="D15" s="3">
        <v>0.2</v>
      </c>
      <c r="E15" s="3">
        <f>D15^2</f>
        <v>4.0000000000000008E-2</v>
      </c>
      <c r="F15" s="35" t="s">
        <v>30</v>
      </c>
      <c r="G15" s="52" t="s">
        <v>30</v>
      </c>
      <c r="J15" s="5" t="s">
        <v>16</v>
      </c>
      <c r="K15" s="3" t="s">
        <v>11</v>
      </c>
      <c r="L15" s="3">
        <v>0.18</v>
      </c>
      <c r="M15" s="3">
        <v>0.16</v>
      </c>
      <c r="N15" s="3">
        <f>M15^2</f>
        <v>2.5600000000000001E-2</v>
      </c>
      <c r="O15" s="35" t="s">
        <v>30</v>
      </c>
      <c r="P15" s="52" t="s">
        <v>30</v>
      </c>
      <c r="S15" s="87"/>
      <c r="T15" s="87"/>
      <c r="U15" s="87"/>
      <c r="V15" s="87"/>
      <c r="W15" s="112"/>
      <c r="X15" s="112"/>
      <c r="Y15" s="108"/>
    </row>
    <row r="16" spans="1:25">
      <c r="A16" s="5" t="s">
        <v>16</v>
      </c>
      <c r="B16" s="3" t="s">
        <v>11</v>
      </c>
      <c r="C16" s="3">
        <v>0.04</v>
      </c>
      <c r="D16" s="3">
        <v>0.19</v>
      </c>
      <c r="E16" s="3">
        <f t="shared" ref="E16:E40" si="0">D16^2</f>
        <v>3.61E-2</v>
      </c>
      <c r="F16" s="35" t="s">
        <v>30</v>
      </c>
      <c r="G16" s="52" t="s">
        <v>30</v>
      </c>
      <c r="J16" s="5" t="s">
        <v>16</v>
      </c>
      <c r="K16" s="3" t="s">
        <v>11</v>
      </c>
      <c r="L16" s="3">
        <v>0.06</v>
      </c>
      <c r="M16" s="3">
        <v>0.06</v>
      </c>
      <c r="N16" s="3">
        <f t="shared" ref="N16:N40" si="1">M16^2</f>
        <v>3.5999999999999999E-3</v>
      </c>
      <c r="O16" s="35" t="s">
        <v>30</v>
      </c>
      <c r="P16" s="52" t="s">
        <v>30</v>
      </c>
      <c r="S16" s="87"/>
      <c r="T16" s="87"/>
      <c r="U16" s="87"/>
      <c r="V16" s="87"/>
      <c r="W16" s="112"/>
      <c r="X16" s="112"/>
      <c r="Y16" s="108"/>
    </row>
    <row r="17" spans="1:25">
      <c r="A17" s="5" t="s">
        <v>16</v>
      </c>
      <c r="B17" s="3" t="s">
        <v>12</v>
      </c>
      <c r="C17" s="3">
        <v>0.18</v>
      </c>
      <c r="D17" s="3">
        <v>0.2</v>
      </c>
      <c r="E17" s="3">
        <f t="shared" si="0"/>
        <v>4.0000000000000008E-2</v>
      </c>
      <c r="F17" s="35" t="s">
        <v>30</v>
      </c>
      <c r="G17" s="52" t="s">
        <v>30</v>
      </c>
      <c r="J17" s="5" t="s">
        <v>16</v>
      </c>
      <c r="K17" s="3" t="s">
        <v>12</v>
      </c>
      <c r="L17" s="3">
        <v>0.3</v>
      </c>
      <c r="M17" s="3">
        <v>0.17</v>
      </c>
      <c r="N17" s="3">
        <f t="shared" si="1"/>
        <v>2.8900000000000006E-2</v>
      </c>
      <c r="O17" s="35" t="s">
        <v>30</v>
      </c>
      <c r="P17" s="52" t="s">
        <v>30</v>
      </c>
      <c r="S17" s="87"/>
      <c r="T17" s="87"/>
      <c r="U17" s="87"/>
      <c r="V17" s="87"/>
      <c r="W17" s="112"/>
      <c r="X17" s="112"/>
      <c r="Y17" s="108"/>
    </row>
    <row r="18" spans="1:25">
      <c r="A18" s="5" t="s">
        <v>16</v>
      </c>
      <c r="B18" s="3" t="s">
        <v>12</v>
      </c>
      <c r="C18" s="3">
        <v>0.11</v>
      </c>
      <c r="D18" s="3">
        <v>0.19</v>
      </c>
      <c r="E18" s="3">
        <f t="shared" si="0"/>
        <v>3.61E-2</v>
      </c>
      <c r="F18" s="35" t="s">
        <v>30</v>
      </c>
      <c r="G18" s="52" t="s">
        <v>30</v>
      </c>
      <c r="J18" s="5" t="s">
        <v>16</v>
      </c>
      <c r="K18" s="3" t="s">
        <v>12</v>
      </c>
      <c r="L18" s="3">
        <v>0.18</v>
      </c>
      <c r="M18" s="3">
        <v>0.1</v>
      </c>
      <c r="N18" s="3">
        <f t="shared" si="1"/>
        <v>1.0000000000000002E-2</v>
      </c>
      <c r="O18" s="35" t="s">
        <v>30</v>
      </c>
      <c r="P18" s="52" t="s">
        <v>30</v>
      </c>
      <c r="S18" s="87"/>
      <c r="T18" s="87"/>
      <c r="U18" s="87"/>
      <c r="V18" s="87"/>
      <c r="W18" s="112"/>
      <c r="X18" s="112"/>
      <c r="Y18" s="108"/>
    </row>
    <row r="19" spans="1:25">
      <c r="A19" s="5" t="s">
        <v>16</v>
      </c>
      <c r="B19" s="3" t="s">
        <v>12</v>
      </c>
      <c r="C19" s="3">
        <v>0.04</v>
      </c>
      <c r="D19" s="3">
        <v>0.19</v>
      </c>
      <c r="E19" s="3">
        <f t="shared" si="0"/>
        <v>3.61E-2</v>
      </c>
      <c r="F19" s="35" t="s">
        <v>30</v>
      </c>
      <c r="G19" s="52" t="s">
        <v>30</v>
      </c>
      <c r="J19" s="5" t="s">
        <v>16</v>
      </c>
      <c r="K19" s="3" t="s">
        <v>12</v>
      </c>
      <c r="L19" s="3">
        <v>0.06</v>
      </c>
      <c r="M19" s="3">
        <v>0.05</v>
      </c>
      <c r="N19" s="3">
        <f t="shared" si="1"/>
        <v>2.5000000000000005E-3</v>
      </c>
      <c r="O19" s="35" t="s">
        <v>30</v>
      </c>
      <c r="P19" s="52" t="s">
        <v>30</v>
      </c>
      <c r="S19" s="87"/>
      <c r="T19" s="87"/>
      <c r="U19" s="87"/>
      <c r="V19" s="87"/>
      <c r="W19" s="112"/>
      <c r="X19" s="112"/>
      <c r="Y19" s="108"/>
    </row>
    <row r="20" spans="1:25">
      <c r="A20" s="5" t="s">
        <v>16</v>
      </c>
      <c r="B20" s="3" t="s">
        <v>13</v>
      </c>
      <c r="C20" s="3">
        <v>0.18</v>
      </c>
      <c r="D20" s="3">
        <v>0.18</v>
      </c>
      <c r="E20" s="3">
        <f t="shared" si="0"/>
        <v>3.2399999999999998E-2</v>
      </c>
      <c r="F20" s="35" t="s">
        <v>30</v>
      </c>
      <c r="G20" s="52" t="s">
        <v>30</v>
      </c>
      <c r="J20" s="5" t="s">
        <v>16</v>
      </c>
      <c r="K20" s="3" t="s">
        <v>13</v>
      </c>
      <c r="L20" s="3">
        <v>0.3</v>
      </c>
      <c r="M20" s="3">
        <v>0.16</v>
      </c>
      <c r="N20" s="3">
        <f t="shared" si="1"/>
        <v>2.5600000000000001E-2</v>
      </c>
      <c r="O20" s="35" t="s">
        <v>30</v>
      </c>
      <c r="P20" s="52" t="s">
        <v>30</v>
      </c>
      <c r="S20" s="87"/>
      <c r="T20" s="87"/>
      <c r="U20" s="87"/>
      <c r="V20" s="87"/>
      <c r="W20" s="112"/>
      <c r="X20" s="112"/>
      <c r="Y20" s="108"/>
    </row>
    <row r="21" spans="1:25">
      <c r="A21" s="5" t="s">
        <v>16</v>
      </c>
      <c r="B21" s="3" t="s">
        <v>13</v>
      </c>
      <c r="C21" s="3">
        <v>0.11</v>
      </c>
      <c r="D21" s="3">
        <v>0.18</v>
      </c>
      <c r="E21" s="3">
        <f t="shared" si="0"/>
        <v>3.2399999999999998E-2</v>
      </c>
      <c r="F21" s="35" t="s">
        <v>30</v>
      </c>
      <c r="G21" s="52" t="s">
        <v>30</v>
      </c>
      <c r="J21" s="5" t="s">
        <v>16</v>
      </c>
      <c r="K21" s="3" t="s">
        <v>13</v>
      </c>
      <c r="L21" s="3">
        <v>0.18</v>
      </c>
      <c r="M21" s="3">
        <v>0.1</v>
      </c>
      <c r="N21" s="3">
        <f t="shared" si="1"/>
        <v>1.0000000000000002E-2</v>
      </c>
      <c r="O21" s="35" t="s">
        <v>30</v>
      </c>
      <c r="P21" s="52" t="s">
        <v>30</v>
      </c>
      <c r="S21" s="87"/>
      <c r="T21" s="87"/>
      <c r="U21" s="87"/>
      <c r="V21" s="87"/>
      <c r="W21" s="112"/>
      <c r="X21" s="112"/>
      <c r="Y21" s="108"/>
    </row>
    <row r="22" spans="1:25" ht="15.75" thickBot="1">
      <c r="A22" s="6" t="s">
        <v>16</v>
      </c>
      <c r="B22" s="7" t="s">
        <v>13</v>
      </c>
      <c r="C22" s="7">
        <v>0.04</v>
      </c>
      <c r="D22" s="7">
        <v>0.19</v>
      </c>
      <c r="E22" s="7">
        <f t="shared" si="0"/>
        <v>3.61E-2</v>
      </c>
      <c r="F22" s="53">
        <f>AVERAGE(D14:D22)</f>
        <v>0.19222222222222218</v>
      </c>
      <c r="G22" s="54">
        <f>F22*$B$8*0.3048^2</f>
        <v>1.2556426499999999E-2</v>
      </c>
      <c r="J22" s="6" t="s">
        <v>16</v>
      </c>
      <c r="K22" s="7" t="s">
        <v>13</v>
      </c>
      <c r="L22" s="7">
        <v>0.06</v>
      </c>
      <c r="M22" s="7">
        <v>0.04</v>
      </c>
      <c r="N22" s="7">
        <f t="shared" si="1"/>
        <v>1.6000000000000001E-3</v>
      </c>
      <c r="O22" s="53">
        <f>AVERAGE(M14:M22)</f>
        <v>0.11555555555555556</v>
      </c>
      <c r="P22" s="54">
        <f>O22*$B$8*0.3048^2</f>
        <v>7.5483720000000011E-3</v>
      </c>
      <c r="S22" s="87"/>
      <c r="T22" s="87"/>
      <c r="U22" s="87"/>
      <c r="V22" s="87"/>
      <c r="W22" s="113"/>
      <c r="X22" s="113"/>
      <c r="Y22" s="108"/>
    </row>
    <row r="23" spans="1:25">
      <c r="A23" s="90" t="s">
        <v>18</v>
      </c>
      <c r="B23" s="91" t="s">
        <v>11</v>
      </c>
      <c r="C23" s="91">
        <v>0.18</v>
      </c>
      <c r="D23" s="91">
        <v>0.19</v>
      </c>
      <c r="E23" s="91">
        <f t="shared" si="0"/>
        <v>3.61E-2</v>
      </c>
      <c r="F23" s="114" t="s">
        <v>30</v>
      </c>
      <c r="G23" s="115" t="s">
        <v>30</v>
      </c>
      <c r="J23" s="90" t="s">
        <v>18</v>
      </c>
      <c r="K23" s="91" t="s">
        <v>11</v>
      </c>
      <c r="L23" s="91">
        <v>0.3</v>
      </c>
      <c r="M23" s="91">
        <v>0.19</v>
      </c>
      <c r="N23" s="91">
        <f t="shared" si="1"/>
        <v>3.61E-2</v>
      </c>
      <c r="O23" s="114" t="s">
        <v>30</v>
      </c>
      <c r="P23" s="115" t="s">
        <v>30</v>
      </c>
      <c r="S23" s="87"/>
      <c r="T23" s="87"/>
      <c r="U23" s="87"/>
      <c r="V23" s="87"/>
      <c r="W23" s="112"/>
      <c r="X23" s="112"/>
      <c r="Y23" s="108"/>
    </row>
    <row r="24" spans="1:25">
      <c r="A24" s="5" t="s">
        <v>18</v>
      </c>
      <c r="B24" s="3" t="s">
        <v>11</v>
      </c>
      <c r="C24" s="3">
        <v>0.11</v>
      </c>
      <c r="D24" s="3">
        <v>0.2</v>
      </c>
      <c r="E24" s="3">
        <f t="shared" si="0"/>
        <v>4.0000000000000008E-2</v>
      </c>
      <c r="F24" s="35" t="s">
        <v>30</v>
      </c>
      <c r="G24" s="52" t="s">
        <v>30</v>
      </c>
      <c r="J24" s="5" t="s">
        <v>18</v>
      </c>
      <c r="K24" s="3" t="s">
        <v>11</v>
      </c>
      <c r="L24" s="3">
        <v>0.18</v>
      </c>
      <c r="M24" s="3">
        <v>0.16</v>
      </c>
      <c r="N24" s="3">
        <f t="shared" si="1"/>
        <v>2.5600000000000001E-2</v>
      </c>
      <c r="O24" s="35" t="s">
        <v>30</v>
      </c>
      <c r="P24" s="52" t="s">
        <v>30</v>
      </c>
      <c r="S24" s="87"/>
      <c r="T24" s="87"/>
      <c r="U24" s="87"/>
      <c r="V24" s="87"/>
      <c r="W24" s="112"/>
      <c r="X24" s="112"/>
      <c r="Y24" s="108"/>
    </row>
    <row r="25" spans="1:25">
      <c r="A25" s="5" t="s">
        <v>18</v>
      </c>
      <c r="B25" s="3" t="s">
        <v>11</v>
      </c>
      <c r="C25" s="3">
        <v>0.04</v>
      </c>
      <c r="D25" s="3">
        <v>0.18</v>
      </c>
      <c r="E25" s="3">
        <f t="shared" si="0"/>
        <v>3.2399999999999998E-2</v>
      </c>
      <c r="F25" s="35" t="s">
        <v>30</v>
      </c>
      <c r="G25" s="52" t="s">
        <v>30</v>
      </c>
      <c r="J25" s="5" t="s">
        <v>18</v>
      </c>
      <c r="K25" s="3" t="s">
        <v>11</v>
      </c>
      <c r="L25" s="3">
        <v>0.06</v>
      </c>
      <c r="M25" s="3">
        <v>0.09</v>
      </c>
      <c r="N25" s="3">
        <f t="shared" si="1"/>
        <v>8.0999999999999996E-3</v>
      </c>
      <c r="O25" s="35" t="s">
        <v>30</v>
      </c>
      <c r="P25" s="52" t="s">
        <v>30</v>
      </c>
      <c r="S25" s="87"/>
      <c r="T25" s="87"/>
      <c r="U25" s="87"/>
      <c r="V25" s="87"/>
      <c r="W25" s="112"/>
      <c r="X25" s="112"/>
      <c r="Y25" s="108"/>
    </row>
    <row r="26" spans="1:25">
      <c r="A26" s="5" t="s">
        <v>18</v>
      </c>
      <c r="B26" s="3" t="s">
        <v>12</v>
      </c>
      <c r="C26" s="3">
        <v>0.18</v>
      </c>
      <c r="D26" s="3">
        <v>0.19</v>
      </c>
      <c r="E26" s="3">
        <f t="shared" si="0"/>
        <v>3.61E-2</v>
      </c>
      <c r="F26" s="35" t="s">
        <v>30</v>
      </c>
      <c r="G26" s="52" t="s">
        <v>30</v>
      </c>
      <c r="J26" s="5" t="s">
        <v>18</v>
      </c>
      <c r="K26" s="3" t="s">
        <v>12</v>
      </c>
      <c r="L26" s="3">
        <v>0.3</v>
      </c>
      <c r="M26" s="3">
        <v>0.14000000000000001</v>
      </c>
      <c r="N26" s="3">
        <f t="shared" si="1"/>
        <v>1.9600000000000003E-2</v>
      </c>
      <c r="O26" s="35" t="s">
        <v>30</v>
      </c>
      <c r="P26" s="52" t="s">
        <v>30</v>
      </c>
      <c r="S26" s="87"/>
      <c r="T26" s="87"/>
      <c r="U26" s="87"/>
      <c r="V26" s="87"/>
      <c r="W26" s="112"/>
      <c r="X26" s="112"/>
      <c r="Y26" s="108"/>
    </row>
    <row r="27" spans="1:25">
      <c r="A27" s="5" t="s">
        <v>18</v>
      </c>
      <c r="B27" s="3" t="s">
        <v>12</v>
      </c>
      <c r="C27" s="3">
        <v>0.11</v>
      </c>
      <c r="D27" s="3">
        <v>0.19</v>
      </c>
      <c r="E27" s="3">
        <f t="shared" si="0"/>
        <v>3.61E-2</v>
      </c>
      <c r="F27" s="35" t="s">
        <v>30</v>
      </c>
      <c r="G27" s="52" t="s">
        <v>30</v>
      </c>
      <c r="J27" s="5" t="s">
        <v>18</v>
      </c>
      <c r="K27" s="3" t="s">
        <v>12</v>
      </c>
      <c r="L27" s="3">
        <v>0.18</v>
      </c>
      <c r="M27" s="3">
        <v>0.1</v>
      </c>
      <c r="N27" s="3">
        <f t="shared" si="1"/>
        <v>1.0000000000000002E-2</v>
      </c>
      <c r="O27" s="35" t="s">
        <v>30</v>
      </c>
      <c r="P27" s="52" t="s">
        <v>30</v>
      </c>
      <c r="S27" s="87"/>
      <c r="T27" s="87"/>
      <c r="U27" s="87"/>
      <c r="V27" s="87"/>
      <c r="W27" s="112"/>
      <c r="X27" s="112"/>
      <c r="Y27" s="108"/>
    </row>
    <row r="28" spans="1:25">
      <c r="A28" s="5" t="s">
        <v>18</v>
      </c>
      <c r="B28" s="3" t="s">
        <v>12</v>
      </c>
      <c r="C28" s="3">
        <v>0.04</v>
      </c>
      <c r="D28" s="3">
        <v>0.19</v>
      </c>
      <c r="E28" s="3">
        <f t="shared" si="0"/>
        <v>3.61E-2</v>
      </c>
      <c r="F28" s="35" t="s">
        <v>30</v>
      </c>
      <c r="G28" s="52" t="s">
        <v>30</v>
      </c>
      <c r="J28" s="5" t="s">
        <v>18</v>
      </c>
      <c r="K28" s="3" t="s">
        <v>12</v>
      </c>
      <c r="L28" s="3">
        <v>0.06</v>
      </c>
      <c r="M28" s="3">
        <v>0.05</v>
      </c>
      <c r="N28" s="3">
        <f t="shared" si="1"/>
        <v>2.5000000000000005E-3</v>
      </c>
      <c r="O28" s="35" t="s">
        <v>30</v>
      </c>
      <c r="P28" s="52" t="s">
        <v>30</v>
      </c>
      <c r="S28" s="87"/>
      <c r="T28" s="87"/>
      <c r="U28" s="87"/>
      <c r="V28" s="87"/>
      <c r="W28" s="112"/>
      <c r="X28" s="112"/>
      <c r="Y28" s="108"/>
    </row>
    <row r="29" spans="1:25">
      <c r="A29" s="5" t="s">
        <v>18</v>
      </c>
      <c r="B29" s="3" t="s">
        <v>13</v>
      </c>
      <c r="C29" s="3">
        <v>0.18</v>
      </c>
      <c r="D29" s="3">
        <v>0.17</v>
      </c>
      <c r="E29" s="3">
        <f t="shared" si="0"/>
        <v>2.8900000000000006E-2</v>
      </c>
      <c r="F29" s="35" t="s">
        <v>30</v>
      </c>
      <c r="G29" s="52" t="s">
        <v>30</v>
      </c>
      <c r="J29" s="5" t="s">
        <v>18</v>
      </c>
      <c r="K29" s="3" t="s">
        <v>13</v>
      </c>
      <c r="L29" s="3">
        <v>0.3</v>
      </c>
      <c r="M29" s="3">
        <v>0.16</v>
      </c>
      <c r="N29" s="3">
        <f t="shared" si="1"/>
        <v>2.5600000000000001E-2</v>
      </c>
      <c r="O29" s="35" t="s">
        <v>30</v>
      </c>
      <c r="P29" s="52" t="s">
        <v>30</v>
      </c>
      <c r="S29" s="87"/>
      <c r="T29" s="87"/>
      <c r="U29" s="87"/>
      <c r="V29" s="87"/>
      <c r="W29" s="112"/>
      <c r="X29" s="112"/>
      <c r="Y29" s="108"/>
    </row>
    <row r="30" spans="1:25">
      <c r="A30" s="5" t="s">
        <v>18</v>
      </c>
      <c r="B30" s="3" t="s">
        <v>13</v>
      </c>
      <c r="C30" s="3">
        <v>0.11</v>
      </c>
      <c r="D30" s="3">
        <v>0.18</v>
      </c>
      <c r="E30" s="3">
        <f t="shared" si="0"/>
        <v>3.2399999999999998E-2</v>
      </c>
      <c r="F30" s="35" t="s">
        <v>30</v>
      </c>
      <c r="G30" s="52" t="s">
        <v>30</v>
      </c>
      <c r="J30" s="5" t="s">
        <v>18</v>
      </c>
      <c r="K30" s="3" t="s">
        <v>13</v>
      </c>
      <c r="L30" s="3">
        <v>0.18</v>
      </c>
      <c r="M30" s="3">
        <v>0.09</v>
      </c>
      <c r="N30" s="3">
        <f t="shared" si="1"/>
        <v>8.0999999999999996E-3</v>
      </c>
      <c r="O30" s="35" t="s">
        <v>30</v>
      </c>
      <c r="P30" s="52" t="s">
        <v>30</v>
      </c>
      <c r="S30" s="87"/>
      <c r="T30" s="87"/>
      <c r="U30" s="87"/>
      <c r="V30" s="87"/>
      <c r="W30" s="112"/>
      <c r="X30" s="112"/>
      <c r="Y30" s="108"/>
    </row>
    <row r="31" spans="1:25" ht="15.75" thickBot="1">
      <c r="A31" s="55" t="s">
        <v>18</v>
      </c>
      <c r="B31" s="56" t="s">
        <v>13</v>
      </c>
      <c r="C31" s="56">
        <v>0.04</v>
      </c>
      <c r="D31" s="56">
        <v>0.2</v>
      </c>
      <c r="E31" s="56">
        <f t="shared" si="0"/>
        <v>4.0000000000000008E-2</v>
      </c>
      <c r="F31" s="57">
        <f>AVERAGE(D23:D31)</f>
        <v>0.18777777777777774</v>
      </c>
      <c r="G31" s="58">
        <f>F31*$B$8*0.3048^2</f>
        <v>1.2266104499999998E-2</v>
      </c>
      <c r="J31" s="55" t="s">
        <v>18</v>
      </c>
      <c r="K31" s="56" t="s">
        <v>13</v>
      </c>
      <c r="L31" s="56">
        <v>0.06</v>
      </c>
      <c r="M31" s="56">
        <v>0.03</v>
      </c>
      <c r="N31" s="56">
        <f t="shared" si="1"/>
        <v>8.9999999999999998E-4</v>
      </c>
      <c r="O31" s="57">
        <f>AVERAGE(M23:M30)</f>
        <v>0.1225</v>
      </c>
      <c r="P31" s="58">
        <f>O31*$B$8*0.3048^2</f>
        <v>8.0020001250000004E-3</v>
      </c>
      <c r="S31" s="87"/>
      <c r="T31" s="87"/>
      <c r="U31" s="87"/>
      <c r="V31" s="87"/>
      <c r="W31" s="113"/>
      <c r="X31" s="113"/>
      <c r="Y31" s="108"/>
    </row>
    <row r="32" spans="1:25">
      <c r="A32" s="48" t="s">
        <v>20</v>
      </c>
      <c r="B32" s="49" t="s">
        <v>11</v>
      </c>
      <c r="C32" s="49">
        <v>0.18</v>
      </c>
      <c r="D32" s="49">
        <v>0.23</v>
      </c>
      <c r="E32" s="49">
        <f t="shared" si="0"/>
        <v>5.2900000000000003E-2</v>
      </c>
      <c r="F32" s="50" t="s">
        <v>30</v>
      </c>
      <c r="G32" s="51" t="s">
        <v>30</v>
      </c>
      <c r="J32" s="48" t="s">
        <v>20</v>
      </c>
      <c r="K32" s="49" t="s">
        <v>11</v>
      </c>
      <c r="L32" s="49">
        <v>0.3</v>
      </c>
      <c r="M32" s="49">
        <v>0.16</v>
      </c>
      <c r="N32" s="49">
        <f t="shared" si="1"/>
        <v>2.5600000000000001E-2</v>
      </c>
      <c r="O32" s="50" t="s">
        <v>30</v>
      </c>
      <c r="P32" s="51" t="s">
        <v>30</v>
      </c>
      <c r="S32" s="87"/>
      <c r="T32" s="87"/>
      <c r="U32" s="87"/>
      <c r="V32" s="87"/>
      <c r="W32" s="112"/>
      <c r="X32" s="112"/>
      <c r="Y32" s="108"/>
    </row>
    <row r="33" spans="1:25">
      <c r="A33" s="5" t="s">
        <v>20</v>
      </c>
      <c r="B33" s="3" t="s">
        <v>11</v>
      </c>
      <c r="C33" s="3">
        <v>0.11</v>
      </c>
      <c r="D33" s="3">
        <v>0.25</v>
      </c>
      <c r="E33" s="3">
        <f t="shared" si="0"/>
        <v>6.25E-2</v>
      </c>
      <c r="F33" s="35" t="s">
        <v>30</v>
      </c>
      <c r="G33" s="52" t="s">
        <v>30</v>
      </c>
      <c r="J33" s="5" t="s">
        <v>20</v>
      </c>
      <c r="K33" s="3" t="s">
        <v>11</v>
      </c>
      <c r="L33" s="3">
        <v>0.18</v>
      </c>
      <c r="M33" s="3">
        <v>0.13</v>
      </c>
      <c r="N33" s="3">
        <f t="shared" si="1"/>
        <v>1.6900000000000002E-2</v>
      </c>
      <c r="O33" s="35" t="s">
        <v>30</v>
      </c>
      <c r="P33" s="52" t="s">
        <v>30</v>
      </c>
      <c r="S33" s="87"/>
      <c r="T33" s="87"/>
      <c r="U33" s="87"/>
      <c r="V33" s="87"/>
      <c r="W33" s="112"/>
      <c r="X33" s="112"/>
      <c r="Y33" s="108"/>
    </row>
    <row r="34" spans="1:25">
      <c r="A34" s="5" t="s">
        <v>20</v>
      </c>
      <c r="B34" s="3" t="s">
        <v>11</v>
      </c>
      <c r="C34" s="3">
        <v>0.04</v>
      </c>
      <c r="D34" s="3">
        <v>0.23</v>
      </c>
      <c r="E34" s="3">
        <f t="shared" si="0"/>
        <v>5.2900000000000003E-2</v>
      </c>
      <c r="F34" s="35" t="s">
        <v>30</v>
      </c>
      <c r="G34" s="52" t="s">
        <v>30</v>
      </c>
      <c r="J34" s="5" t="s">
        <v>20</v>
      </c>
      <c r="K34" s="3" t="s">
        <v>11</v>
      </c>
      <c r="L34" s="3">
        <v>0.06</v>
      </c>
      <c r="M34" s="3">
        <v>0.13</v>
      </c>
      <c r="N34" s="3">
        <f t="shared" si="1"/>
        <v>1.6900000000000002E-2</v>
      </c>
      <c r="O34" s="35" t="s">
        <v>30</v>
      </c>
      <c r="P34" s="52" t="s">
        <v>30</v>
      </c>
      <c r="S34" s="87"/>
      <c r="T34" s="87"/>
      <c r="U34" s="87"/>
      <c r="V34" s="87"/>
      <c r="W34" s="112"/>
      <c r="X34" s="112"/>
      <c r="Y34" s="108"/>
    </row>
    <row r="35" spans="1:25">
      <c r="A35" s="5" t="s">
        <v>20</v>
      </c>
      <c r="B35" s="3" t="s">
        <v>12</v>
      </c>
      <c r="C35" s="3">
        <v>0.18</v>
      </c>
      <c r="D35" s="3">
        <v>0.21</v>
      </c>
      <c r="E35" s="3">
        <f t="shared" si="0"/>
        <v>4.4099999999999993E-2</v>
      </c>
      <c r="F35" s="35" t="s">
        <v>30</v>
      </c>
      <c r="G35" s="52" t="s">
        <v>30</v>
      </c>
      <c r="J35" s="5" t="s">
        <v>20</v>
      </c>
      <c r="K35" s="3" t="s">
        <v>12</v>
      </c>
      <c r="L35" s="3">
        <v>0.3</v>
      </c>
      <c r="M35" s="3">
        <v>0.12</v>
      </c>
      <c r="N35" s="3">
        <f t="shared" si="1"/>
        <v>1.44E-2</v>
      </c>
      <c r="O35" s="35" t="s">
        <v>30</v>
      </c>
      <c r="P35" s="52" t="s">
        <v>30</v>
      </c>
      <c r="S35" s="87"/>
      <c r="T35" s="87"/>
      <c r="U35" s="87"/>
      <c r="V35" s="87"/>
      <c r="W35" s="112"/>
      <c r="X35" s="112"/>
      <c r="Y35" s="108"/>
    </row>
    <row r="36" spans="1:25">
      <c r="A36" s="5" t="s">
        <v>20</v>
      </c>
      <c r="B36" s="3" t="s">
        <v>12</v>
      </c>
      <c r="C36" s="3">
        <v>0.11</v>
      </c>
      <c r="D36" s="3">
        <v>0.15</v>
      </c>
      <c r="E36" s="3">
        <f t="shared" si="0"/>
        <v>2.2499999999999999E-2</v>
      </c>
      <c r="F36" s="35" t="s">
        <v>30</v>
      </c>
      <c r="G36" s="52" t="s">
        <v>30</v>
      </c>
      <c r="J36" s="5" t="s">
        <v>20</v>
      </c>
      <c r="K36" s="3" t="s">
        <v>12</v>
      </c>
      <c r="L36" s="3">
        <v>0.18</v>
      </c>
      <c r="M36" s="3">
        <v>0.1</v>
      </c>
      <c r="N36" s="3">
        <f t="shared" si="1"/>
        <v>1.0000000000000002E-2</v>
      </c>
      <c r="O36" s="35" t="s">
        <v>30</v>
      </c>
      <c r="P36" s="52" t="s">
        <v>30</v>
      </c>
      <c r="S36" s="87"/>
      <c r="T36" s="87"/>
      <c r="U36" s="87"/>
      <c r="V36" s="87"/>
      <c r="W36" s="112"/>
      <c r="X36" s="112"/>
      <c r="Y36" s="108"/>
    </row>
    <row r="37" spans="1:25">
      <c r="A37" s="5" t="s">
        <v>20</v>
      </c>
      <c r="B37" s="3" t="s">
        <v>12</v>
      </c>
      <c r="C37" s="3">
        <v>0.04</v>
      </c>
      <c r="D37" s="3">
        <v>0.14000000000000001</v>
      </c>
      <c r="E37" s="3">
        <f t="shared" si="0"/>
        <v>1.9600000000000003E-2</v>
      </c>
      <c r="F37" s="35" t="s">
        <v>30</v>
      </c>
      <c r="G37" s="52" t="s">
        <v>30</v>
      </c>
      <c r="J37" s="5" t="s">
        <v>20</v>
      </c>
      <c r="K37" s="3" t="s">
        <v>12</v>
      </c>
      <c r="L37" s="3">
        <v>0.06</v>
      </c>
      <c r="M37" s="3">
        <v>0.1</v>
      </c>
      <c r="N37" s="3">
        <f t="shared" si="1"/>
        <v>1.0000000000000002E-2</v>
      </c>
      <c r="O37" s="35" t="s">
        <v>30</v>
      </c>
      <c r="P37" s="52" t="s">
        <v>30</v>
      </c>
      <c r="S37" s="87"/>
      <c r="T37" s="87"/>
      <c r="U37" s="87"/>
      <c r="V37" s="87"/>
      <c r="W37" s="112"/>
      <c r="X37" s="112"/>
      <c r="Y37" s="108"/>
    </row>
    <row r="38" spans="1:25">
      <c r="A38" s="5" t="s">
        <v>20</v>
      </c>
      <c r="B38" s="3" t="s">
        <v>13</v>
      </c>
      <c r="C38" s="3">
        <v>0.18</v>
      </c>
      <c r="D38" s="3">
        <v>0.23</v>
      </c>
      <c r="E38" s="3">
        <f t="shared" si="0"/>
        <v>5.2900000000000003E-2</v>
      </c>
      <c r="F38" s="35" t="s">
        <v>30</v>
      </c>
      <c r="G38" s="52" t="s">
        <v>30</v>
      </c>
      <c r="J38" s="5" t="s">
        <v>20</v>
      </c>
      <c r="K38" s="3" t="s">
        <v>13</v>
      </c>
      <c r="L38" s="3">
        <v>0.3</v>
      </c>
      <c r="M38" s="3">
        <v>0.12</v>
      </c>
      <c r="N38" s="3">
        <f t="shared" si="1"/>
        <v>1.44E-2</v>
      </c>
      <c r="O38" s="35" t="s">
        <v>30</v>
      </c>
      <c r="P38" s="52" t="s">
        <v>30</v>
      </c>
      <c r="S38" s="87"/>
      <c r="T38" s="87"/>
      <c r="U38" s="87"/>
      <c r="V38" s="87"/>
      <c r="W38" s="112"/>
      <c r="X38" s="112"/>
      <c r="Y38" s="108"/>
    </row>
    <row r="39" spans="1:25">
      <c r="A39" s="5" t="s">
        <v>20</v>
      </c>
      <c r="B39" s="3" t="s">
        <v>13</v>
      </c>
      <c r="C39" s="3">
        <v>0.11</v>
      </c>
      <c r="D39" s="3">
        <v>0.18</v>
      </c>
      <c r="E39" s="3">
        <f t="shared" si="0"/>
        <v>3.2399999999999998E-2</v>
      </c>
      <c r="F39" s="35" t="s">
        <v>30</v>
      </c>
      <c r="G39" s="52" t="s">
        <v>30</v>
      </c>
      <c r="J39" s="5" t="s">
        <v>20</v>
      </c>
      <c r="K39" s="3" t="s">
        <v>13</v>
      </c>
      <c r="L39" s="3">
        <v>0.18</v>
      </c>
      <c r="M39" s="3">
        <v>0.08</v>
      </c>
      <c r="N39" s="3">
        <f t="shared" si="1"/>
        <v>6.4000000000000003E-3</v>
      </c>
      <c r="O39" s="35" t="s">
        <v>30</v>
      </c>
      <c r="P39" s="52" t="s">
        <v>30</v>
      </c>
      <c r="S39" s="87"/>
      <c r="T39" s="87"/>
      <c r="U39" s="87"/>
      <c r="V39" s="87"/>
      <c r="W39" s="112"/>
      <c r="X39" s="112"/>
      <c r="Y39" s="108"/>
    </row>
    <row r="40" spans="1:25" ht="15.75" thickBot="1">
      <c r="A40" s="6" t="s">
        <v>20</v>
      </c>
      <c r="B40" s="7" t="s">
        <v>13</v>
      </c>
      <c r="C40" s="7">
        <v>0.04</v>
      </c>
      <c r="D40" s="7">
        <v>0.18</v>
      </c>
      <c r="E40" s="7">
        <f t="shared" si="0"/>
        <v>3.2399999999999998E-2</v>
      </c>
      <c r="F40" s="53">
        <f>AVERAGE(D32:D40)</f>
        <v>0.19999999999999998</v>
      </c>
      <c r="G40" s="54">
        <f>F40*$B$8*0.3048^2</f>
        <v>1.3064490000000002E-2</v>
      </c>
      <c r="J40" s="6" t="s">
        <v>20</v>
      </c>
      <c r="K40" s="7" t="s">
        <v>13</v>
      </c>
      <c r="L40" s="7">
        <v>0.06</v>
      </c>
      <c r="M40" s="7">
        <v>0.08</v>
      </c>
      <c r="N40" s="7">
        <f t="shared" si="1"/>
        <v>6.4000000000000003E-3</v>
      </c>
      <c r="O40" s="53">
        <f>AVERAGE(M32:M40)</f>
        <v>0.11333333333333334</v>
      </c>
      <c r="P40" s="54">
        <f>O40*$B$8*0.3048^2</f>
        <v>7.4032110000000016E-3</v>
      </c>
      <c r="S40" s="87"/>
      <c r="T40" s="87"/>
      <c r="U40" s="87"/>
      <c r="V40" s="87"/>
      <c r="W40" s="113"/>
      <c r="X40" s="113"/>
      <c r="Y40" s="108"/>
    </row>
    <row r="41" spans="1:25">
      <c r="Q41" s="108"/>
      <c r="R41" s="108"/>
      <c r="S41" s="108"/>
      <c r="T41" s="108"/>
      <c r="U41" s="108"/>
      <c r="V41" s="108"/>
      <c r="W41" s="108"/>
    </row>
    <row r="42" spans="1:25">
      <c r="Q42" s="108"/>
      <c r="R42" s="108"/>
      <c r="S42" s="108"/>
      <c r="T42" s="108"/>
      <c r="U42" s="108"/>
      <c r="V42" s="108"/>
      <c r="W42" s="108"/>
    </row>
    <row r="43" spans="1:25" ht="15.75" thickBot="1">
      <c r="A43" s="41" t="s">
        <v>50</v>
      </c>
      <c r="J43" s="39" t="s">
        <v>40</v>
      </c>
      <c r="Q43" s="108"/>
      <c r="R43" s="108"/>
      <c r="S43" s="108"/>
      <c r="T43" s="108"/>
      <c r="U43" s="108"/>
      <c r="V43" s="108"/>
      <c r="W43" s="108"/>
    </row>
    <row r="44" spans="1:25" ht="18">
      <c r="A44" s="16" t="s">
        <v>41</v>
      </c>
      <c r="B44" s="17">
        <v>0.44600000000000001</v>
      </c>
      <c r="J44" s="16" t="s">
        <v>41</v>
      </c>
      <c r="K44" s="17">
        <v>0.47299999999999998</v>
      </c>
    </row>
    <row r="45" spans="1:25" ht="18.75">
      <c r="A45" s="18" t="s">
        <v>42</v>
      </c>
      <c r="B45" s="8">
        <f>10*8.5</f>
        <v>85</v>
      </c>
      <c r="E45" s="11"/>
      <c r="J45" s="18" t="s">
        <v>42</v>
      </c>
      <c r="K45" s="8">
        <f>12*14.1</f>
        <v>169.2</v>
      </c>
    </row>
    <row r="46" spans="1:25" ht="19.5" thickBot="1">
      <c r="A46" s="27" t="s">
        <v>43</v>
      </c>
      <c r="B46" s="44">
        <f>B45*B44/144</f>
        <v>0.26326388888888891</v>
      </c>
      <c r="J46" s="27" t="s">
        <v>43</v>
      </c>
      <c r="K46" s="44">
        <f>K45*K44/144</f>
        <v>0.55577500000000002</v>
      </c>
    </row>
    <row r="47" spans="1:25" ht="15.75" thickBot="1"/>
    <row r="48" spans="1:25" ht="19.5" thickBot="1">
      <c r="A48" s="40" t="s">
        <v>49</v>
      </c>
      <c r="E48" t="s">
        <v>69</v>
      </c>
      <c r="J48" s="16" t="s">
        <v>44</v>
      </c>
      <c r="K48" s="42">
        <f>$B$6*M4/12</f>
        <v>1.171875</v>
      </c>
    </row>
    <row r="49" spans="1:12" ht="18.75">
      <c r="A49" s="16" t="s">
        <v>44</v>
      </c>
      <c r="B49" s="42">
        <f>$B$6*E4/12</f>
        <v>0.703125</v>
      </c>
      <c r="D49" s="4"/>
      <c r="E49" s="2" t="s">
        <v>70</v>
      </c>
      <c r="F49" s="2" t="s">
        <v>71</v>
      </c>
      <c r="J49" s="18" t="s">
        <v>45</v>
      </c>
      <c r="K49" s="26">
        <f>$B$6*M5/12</f>
        <v>1.1770833333333333</v>
      </c>
    </row>
    <row r="50" spans="1:12" ht="18.75">
      <c r="A50" s="18" t="s">
        <v>45</v>
      </c>
      <c r="B50" s="26">
        <f>$B$6*E5/12</f>
        <v>0.703125</v>
      </c>
      <c r="D50" s="13" t="s">
        <v>72</v>
      </c>
      <c r="E50" s="15">
        <f>AVERAGE(H61:H68,H101:H116)</f>
        <v>18.878620833333329</v>
      </c>
      <c r="F50" s="15">
        <f>AVERAGE(H93:H100,H141:H148,H173:H180)</f>
        <v>18.480049999999999</v>
      </c>
      <c r="J50" s="18" t="s">
        <v>46</v>
      </c>
      <c r="K50" s="25">
        <f>CONVERT(O31,"m","ft")</f>
        <v>0.4019028871391076</v>
      </c>
    </row>
    <row r="51" spans="1:12" ht="18">
      <c r="A51" s="18" t="s">
        <v>46</v>
      </c>
      <c r="B51" s="25">
        <f>CONVERT(F31,"m","ft")</f>
        <v>0.61606882473024194</v>
      </c>
      <c r="D51" s="13" t="s">
        <v>65</v>
      </c>
      <c r="E51" s="30">
        <f>CONVERT(E50,"cm","ft")</f>
        <v>0.61937732392825884</v>
      </c>
      <c r="F51" s="30">
        <f>CONVERT(F50,"cm","ft")</f>
        <v>0.60630085301837267</v>
      </c>
      <c r="J51" s="18" t="s">
        <v>47</v>
      </c>
      <c r="K51" s="25">
        <f>CONVERT(O40,"m","ft")</f>
        <v>0.3718285214348207</v>
      </c>
    </row>
    <row r="52" spans="1:12" ht="18">
      <c r="A52" s="18" t="s">
        <v>47</v>
      </c>
      <c r="B52" s="25">
        <f>CONVERT(F40,"m","ft")</f>
        <v>0.65616797900262458</v>
      </c>
      <c r="J52" s="18" t="s">
        <v>48</v>
      </c>
      <c r="K52" s="25">
        <f>CONVERT(O22,"m","ft")</f>
        <v>0.37911927675707202</v>
      </c>
    </row>
    <row r="53" spans="1:12" ht="18.75" thickBot="1">
      <c r="A53" s="18" t="s">
        <v>48</v>
      </c>
      <c r="B53" s="25">
        <f>CONVERT(F22,"m","ft")</f>
        <v>0.63065033537474469</v>
      </c>
      <c r="J53" s="135" t="s">
        <v>51</v>
      </c>
      <c r="K53" s="136">
        <f>2*(K50^2*K48-K51^2*K49)/(K46*K52^2)</f>
        <v>0.66469860546679738</v>
      </c>
      <c r="L53" t="s">
        <v>74</v>
      </c>
    </row>
    <row r="54" spans="1:12" ht="18.75" thickBot="1">
      <c r="A54" s="135" t="s">
        <v>51</v>
      </c>
      <c r="B54" s="136">
        <f>2*(B51^2*$B$49-B52^2*$B$50)/($B$46*B53^2)</f>
        <v>-0.68516812219236445</v>
      </c>
      <c r="C54" t="s">
        <v>218</v>
      </c>
      <c r="J54" s="27" t="s">
        <v>51</v>
      </c>
      <c r="K54" s="129">
        <f>2*(K48/9*SUM(N23:N31)/0.3048^2-K49/9*SUM(N32:N40)/0.3048^2)/(K46*K52^2)</f>
        <v>0.52503010848436826</v>
      </c>
      <c r="L54" t="s">
        <v>75</v>
      </c>
    </row>
    <row r="55" spans="1:12" ht="18.75" thickBot="1">
      <c r="A55" s="27" t="s">
        <v>51</v>
      </c>
      <c r="B55" s="129">
        <f>2*(B49/9*SUM(E23:E31)/0.3048^2-B50/9*SUM(E32:E40)/0.3048^2)/(B46*B53^2)</f>
        <v>-0.86899806901656906</v>
      </c>
      <c r="C55" t="s">
        <v>75</v>
      </c>
    </row>
    <row r="56" spans="1:12" ht="18.75" thickBot="1">
      <c r="A56" s="27" t="s">
        <v>51</v>
      </c>
      <c r="B56" s="142">
        <f>2*(E51^2*$B$49-F51^2*$B$50)/($B$46*B53^2)</f>
        <v>0.2152588355866111</v>
      </c>
      <c r="C56" t="s">
        <v>220</v>
      </c>
    </row>
    <row r="57" spans="1:12" ht="18.75" thickBot="1">
      <c r="A57" s="27" t="s">
        <v>51</v>
      </c>
      <c r="B57" s="142">
        <f>2*(B49/24*(SUM(I61:I68)+SUM(I101:I116))-B50/24*(SUM(I93:I100)+SUM(I141:I148)+SUM(I173:I180)))/(B46*B53^2)</f>
        <v>-2.7434955280282766E-2</v>
      </c>
      <c r="C57" s="139" t="s">
        <v>221</v>
      </c>
      <c r="D57" s="139"/>
      <c r="J57">
        <f>2*(B49/24*L66-B50/24*L68)/(B46*B53^2)</f>
        <v>-2.7434955280283824E-2</v>
      </c>
    </row>
    <row r="59" spans="1:12">
      <c r="B59" s="137" t="s">
        <v>89</v>
      </c>
      <c r="C59" s="138"/>
      <c r="D59" s="138"/>
    </row>
    <row r="60" spans="1:12" ht="17.25">
      <c r="A60" s="4" t="s">
        <v>90</v>
      </c>
      <c r="B60" s="4" t="s">
        <v>91</v>
      </c>
      <c r="C60" s="4" t="s">
        <v>92</v>
      </c>
      <c r="D60" s="4" t="s">
        <v>93</v>
      </c>
      <c r="E60" s="4" t="s">
        <v>219</v>
      </c>
      <c r="F60" s="4" t="s">
        <v>94</v>
      </c>
      <c r="G60" s="4" t="s">
        <v>95</v>
      </c>
      <c r="H60" s="4" t="s">
        <v>96</v>
      </c>
      <c r="I60" s="4" t="s">
        <v>222</v>
      </c>
    </row>
    <row r="61" spans="1:12">
      <c r="A61" s="147" t="s">
        <v>97</v>
      </c>
      <c r="B61" s="147">
        <v>50</v>
      </c>
      <c r="C61" s="147" t="s">
        <v>98</v>
      </c>
      <c r="D61" s="147">
        <f>CONVERT(4,"ft","cm")</f>
        <v>121.92</v>
      </c>
      <c r="E61" s="147">
        <f>CONVERT(D61,"cm","ft")</f>
        <v>4</v>
      </c>
      <c r="F61" s="147">
        <f>8.5</f>
        <v>8.5</v>
      </c>
      <c r="G61" s="147">
        <v>15.450799999999999</v>
      </c>
      <c r="H61" s="147">
        <v>19.454799999999999</v>
      </c>
      <c r="I61" s="148">
        <f>CONVERT(H61,"cm","ft")^2</f>
        <v>0.40740243057708331</v>
      </c>
    </row>
    <row r="62" spans="1:12">
      <c r="A62" s="147" t="s">
        <v>99</v>
      </c>
      <c r="B62" s="147">
        <v>50</v>
      </c>
      <c r="C62" s="147" t="s">
        <v>98</v>
      </c>
      <c r="D62" s="147">
        <f t="shared" ref="D62:D68" si="2">CONVERT(4,"ft","cm")</f>
        <v>121.92</v>
      </c>
      <c r="E62" s="147">
        <f t="shared" ref="E62:E125" si="3">CONVERT(D62,"cm","ft")</f>
        <v>4</v>
      </c>
      <c r="F62" s="147">
        <f>3</f>
        <v>3</v>
      </c>
      <c r="G62" s="147">
        <v>15.4343</v>
      </c>
      <c r="H62" s="147">
        <v>19.837399999999999</v>
      </c>
      <c r="I62" s="148">
        <f t="shared" ref="I62:I125" si="4">CONVERT(H62,"cm","ft")^2</f>
        <v>0.42358402777777771</v>
      </c>
      <c r="K62" s="141" t="s">
        <v>228</v>
      </c>
    </row>
    <row r="63" spans="1:12">
      <c r="A63" s="147" t="s">
        <v>100</v>
      </c>
      <c r="B63" s="147">
        <v>50</v>
      </c>
      <c r="C63" s="147" t="s">
        <v>98</v>
      </c>
      <c r="D63" s="147">
        <f t="shared" si="2"/>
        <v>121.92</v>
      </c>
      <c r="E63" s="147">
        <f t="shared" si="3"/>
        <v>4</v>
      </c>
      <c r="F63" s="147">
        <f>8.5</f>
        <v>8.5</v>
      </c>
      <c r="G63" s="147">
        <v>11.5985</v>
      </c>
      <c r="H63" s="147">
        <v>18.875699999999998</v>
      </c>
      <c r="I63" s="148">
        <f t="shared" si="4"/>
        <v>0.38350957136601754</v>
      </c>
      <c r="K63" s="145" t="s">
        <v>227</v>
      </c>
    </row>
    <row r="64" spans="1:12">
      <c r="A64" s="147" t="s">
        <v>101</v>
      </c>
      <c r="B64" s="147">
        <v>50</v>
      </c>
      <c r="C64" s="147" t="s">
        <v>98</v>
      </c>
      <c r="D64" s="147">
        <f t="shared" si="2"/>
        <v>121.92</v>
      </c>
      <c r="E64" s="147">
        <f t="shared" si="3"/>
        <v>4</v>
      </c>
      <c r="F64" s="147">
        <f>3</f>
        <v>3</v>
      </c>
      <c r="G64" s="147">
        <v>11.6845</v>
      </c>
      <c r="H64" s="147">
        <v>18.824400000000001</v>
      </c>
      <c r="I64" s="148">
        <f t="shared" si="4"/>
        <v>0.38142781480562959</v>
      </c>
      <c r="K64" s="140" t="s">
        <v>225</v>
      </c>
    </row>
    <row r="65" spans="1:17">
      <c r="A65" s="147" t="s">
        <v>102</v>
      </c>
      <c r="B65" s="147">
        <v>50</v>
      </c>
      <c r="C65" s="147" t="s">
        <v>98</v>
      </c>
      <c r="D65" s="147">
        <f t="shared" si="2"/>
        <v>121.92</v>
      </c>
      <c r="E65" s="147">
        <f t="shared" si="3"/>
        <v>4</v>
      </c>
      <c r="F65" s="147">
        <f>8.5</f>
        <v>8.5</v>
      </c>
      <c r="G65" s="147">
        <v>7.8921000000000001</v>
      </c>
      <c r="H65" s="147">
        <v>17.8186</v>
      </c>
      <c r="I65" s="148">
        <f t="shared" si="4"/>
        <v>0.34175685312342857</v>
      </c>
    </row>
    <row r="66" spans="1:17" ht="18">
      <c r="A66" s="147" t="s">
        <v>103</v>
      </c>
      <c r="B66" s="147">
        <v>50</v>
      </c>
      <c r="C66" s="147" t="s">
        <v>98</v>
      </c>
      <c r="D66" s="147">
        <f t="shared" si="2"/>
        <v>121.92</v>
      </c>
      <c r="E66" s="147">
        <f t="shared" si="3"/>
        <v>4</v>
      </c>
      <c r="F66" s="147">
        <f>3</f>
        <v>3</v>
      </c>
      <c r="G66" s="147">
        <v>7.9440999999999997</v>
      </c>
      <c r="H66" s="147">
        <v>17.915700000000001</v>
      </c>
      <c r="I66" s="148">
        <f t="shared" si="4"/>
        <v>0.3454917153303057</v>
      </c>
      <c r="K66" t="s">
        <v>223</v>
      </c>
      <c r="L66" s="143">
        <f>SUM(I61:I68,I101:I116)</f>
        <v>9.2211372326998138</v>
      </c>
      <c r="M66">
        <f>L66*$B$49/24</f>
        <v>0.27015050486425235</v>
      </c>
      <c r="Q66" s="1" t="s">
        <v>79</v>
      </c>
    </row>
    <row r="67" spans="1:17">
      <c r="A67" s="147" t="s">
        <v>104</v>
      </c>
      <c r="B67" s="147">
        <v>50</v>
      </c>
      <c r="C67" s="147" t="s">
        <v>98</v>
      </c>
      <c r="D67" s="147">
        <f t="shared" si="2"/>
        <v>121.92</v>
      </c>
      <c r="E67" s="147">
        <f t="shared" si="3"/>
        <v>4</v>
      </c>
      <c r="F67" s="147">
        <f>8.5</f>
        <v>8.5</v>
      </c>
      <c r="G67" s="147">
        <v>4.1083999999999996</v>
      </c>
      <c r="H67" s="147">
        <v>19.0885</v>
      </c>
      <c r="I67" s="148">
        <f t="shared" si="4"/>
        <v>0.39220549968009655</v>
      </c>
      <c r="K67" t="s">
        <v>226</v>
      </c>
      <c r="L67" s="143">
        <f>SUM(I85:I92,I133:I140,I165:I172)</f>
        <v>9.5974949499069133</v>
      </c>
      <c r="M67">
        <f>L67*$B$49/24</f>
        <v>0.28117660986055409</v>
      </c>
      <c r="P67" t="s">
        <v>229</v>
      </c>
      <c r="Q67" s="146">
        <v>-0.86899806901656906</v>
      </c>
    </row>
    <row r="68" spans="1:17">
      <c r="A68" s="147" t="s">
        <v>105</v>
      </c>
      <c r="B68" s="147">
        <v>50</v>
      </c>
      <c r="C68" s="147" t="s">
        <v>98</v>
      </c>
      <c r="D68" s="147">
        <f t="shared" si="2"/>
        <v>121.92</v>
      </c>
      <c r="E68" s="147">
        <f t="shared" si="3"/>
        <v>4</v>
      </c>
      <c r="F68" s="147">
        <f>3</f>
        <v>3</v>
      </c>
      <c r="G68" s="147">
        <v>4.0971000000000002</v>
      </c>
      <c r="H68" s="147">
        <v>17.475300000000001</v>
      </c>
      <c r="I68" s="148">
        <f t="shared" si="4"/>
        <v>0.32871487315162129</v>
      </c>
      <c r="K68" t="s">
        <v>224</v>
      </c>
      <c r="L68" s="143">
        <f>SUM(I93:I100,I141:I148,I173:I180)</f>
        <v>9.2701626746336849</v>
      </c>
      <c r="M68">
        <f>L68*B50/24</f>
        <v>0.27158679710840877</v>
      </c>
      <c r="P68" t="s">
        <v>230</v>
      </c>
      <c r="Q68" s="146">
        <f>2*(M66-M67)/(B46*B53^2)</f>
        <v>-0.21061221956742635</v>
      </c>
    </row>
    <row r="69" spans="1:17">
      <c r="A69" s="4" t="s">
        <v>106</v>
      </c>
      <c r="B69" s="4">
        <v>50</v>
      </c>
      <c r="C69" s="4" t="s">
        <v>98</v>
      </c>
      <c r="D69" s="4">
        <f>CONVERT(5,"ft","cm")</f>
        <v>152.4</v>
      </c>
      <c r="E69" s="4">
        <f t="shared" si="3"/>
        <v>5</v>
      </c>
      <c r="F69" s="4">
        <f>8.5</f>
        <v>8.5</v>
      </c>
      <c r="G69" s="4">
        <v>15.660600000000001</v>
      </c>
      <c r="H69" s="4">
        <v>17.9072</v>
      </c>
      <c r="I69" s="30">
        <f t="shared" si="4"/>
        <v>0.34516396001680888</v>
      </c>
      <c r="P69" t="s">
        <v>231</v>
      </c>
      <c r="Q69" s="146">
        <f>2*(M66-M68)/(B46*B53^2)</f>
        <v>-2.7434955280284886E-2</v>
      </c>
    </row>
    <row r="70" spans="1:17">
      <c r="A70" s="4" t="s">
        <v>107</v>
      </c>
      <c r="B70" s="4">
        <v>50</v>
      </c>
      <c r="C70" s="4" t="s">
        <v>98</v>
      </c>
      <c r="D70" s="4">
        <f t="shared" ref="D70:D76" si="5">CONVERT(5,"ft","cm")</f>
        <v>152.4</v>
      </c>
      <c r="E70" s="4">
        <f t="shared" si="3"/>
        <v>5</v>
      </c>
      <c r="F70" s="4">
        <f>3</f>
        <v>3</v>
      </c>
      <c r="G70" s="4">
        <v>15.6662</v>
      </c>
      <c r="H70" s="4">
        <v>19.750699999999998</v>
      </c>
      <c r="I70" s="30">
        <f t="shared" si="4"/>
        <v>0.41988954343151724</v>
      </c>
    </row>
    <row r="71" spans="1:17">
      <c r="A71" s="4" t="s">
        <v>108</v>
      </c>
      <c r="B71" s="4">
        <v>50</v>
      </c>
      <c r="C71" s="4" t="s">
        <v>98</v>
      </c>
      <c r="D71" s="4">
        <f t="shared" si="5"/>
        <v>152.4</v>
      </c>
      <c r="E71" s="4">
        <f t="shared" si="3"/>
        <v>5</v>
      </c>
      <c r="F71" s="4">
        <f>8.5</f>
        <v>8.5</v>
      </c>
      <c r="G71" s="4">
        <v>11.822100000000001</v>
      </c>
      <c r="H71" s="4">
        <v>17.543399999999998</v>
      </c>
      <c r="I71" s="30">
        <f t="shared" si="4"/>
        <v>0.33128182195114375</v>
      </c>
    </row>
    <row r="72" spans="1:17">
      <c r="A72" s="4" t="s">
        <v>109</v>
      </c>
      <c r="B72" s="4">
        <v>50</v>
      </c>
      <c r="C72" s="4" t="s">
        <v>98</v>
      </c>
      <c r="D72" s="4">
        <f t="shared" si="5"/>
        <v>152.4</v>
      </c>
      <c r="E72" s="4">
        <f t="shared" si="3"/>
        <v>5</v>
      </c>
      <c r="F72" s="4">
        <f>3</f>
        <v>3</v>
      </c>
      <c r="G72" s="4">
        <v>11.914999999999999</v>
      </c>
      <c r="H72" s="4">
        <v>20.0778</v>
      </c>
      <c r="I72" s="30">
        <f t="shared" si="4"/>
        <v>0.43391266081282165</v>
      </c>
    </row>
    <row r="73" spans="1:17">
      <c r="A73" s="4" t="s">
        <v>110</v>
      </c>
      <c r="B73" s="4">
        <v>50</v>
      </c>
      <c r="C73" s="4" t="s">
        <v>98</v>
      </c>
      <c r="D73" s="4">
        <f t="shared" si="5"/>
        <v>152.4</v>
      </c>
      <c r="E73" s="4">
        <f t="shared" si="3"/>
        <v>5</v>
      </c>
      <c r="F73" s="4">
        <f>8.5</f>
        <v>8.5</v>
      </c>
      <c r="G73" s="4">
        <v>8.0478000000000005</v>
      </c>
      <c r="H73" s="4">
        <v>18.091699999999999</v>
      </c>
      <c r="I73" s="30">
        <f t="shared" si="4"/>
        <v>0.35231313086202554</v>
      </c>
    </row>
    <row r="74" spans="1:17">
      <c r="A74" s="4" t="s">
        <v>111</v>
      </c>
      <c r="B74" s="4">
        <v>50</v>
      </c>
      <c r="C74" s="4" t="s">
        <v>98</v>
      </c>
      <c r="D74" s="4">
        <f t="shared" si="5"/>
        <v>152.4</v>
      </c>
      <c r="E74" s="4">
        <f t="shared" si="3"/>
        <v>5</v>
      </c>
      <c r="F74" s="4">
        <f>3</f>
        <v>3</v>
      </c>
      <c r="G74" s="4">
        <v>8.0396999999999998</v>
      </c>
      <c r="H74" s="4">
        <v>19.805599999999998</v>
      </c>
      <c r="I74" s="30">
        <f t="shared" si="4"/>
        <v>0.42222707820971189</v>
      </c>
    </row>
    <row r="75" spans="1:17">
      <c r="A75" s="4" t="s">
        <v>112</v>
      </c>
      <c r="B75" s="4">
        <v>50</v>
      </c>
      <c r="C75" s="4" t="s">
        <v>98</v>
      </c>
      <c r="D75" s="4">
        <f t="shared" si="5"/>
        <v>152.4</v>
      </c>
      <c r="E75" s="4">
        <f t="shared" si="3"/>
        <v>5</v>
      </c>
      <c r="F75" s="4">
        <f>8.5</f>
        <v>8.5</v>
      </c>
      <c r="G75" s="4">
        <v>4.1471</v>
      </c>
      <c r="H75" s="4">
        <v>19.127199999999998</v>
      </c>
      <c r="I75" s="30">
        <f t="shared" si="4"/>
        <v>0.39379742561707343</v>
      </c>
    </row>
    <row r="76" spans="1:17">
      <c r="A76" s="4" t="s">
        <v>113</v>
      </c>
      <c r="B76" s="4">
        <v>50</v>
      </c>
      <c r="C76" s="4" t="s">
        <v>98</v>
      </c>
      <c r="D76" s="4">
        <f t="shared" si="5"/>
        <v>152.4</v>
      </c>
      <c r="E76" s="4">
        <f t="shared" si="3"/>
        <v>5</v>
      </c>
      <c r="F76" s="4">
        <f>3</f>
        <v>3</v>
      </c>
      <c r="G76" s="4">
        <v>4.2465999999999999</v>
      </c>
      <c r="H76" s="4">
        <v>18.831199999999999</v>
      </c>
      <c r="I76" s="30">
        <f t="shared" si="4"/>
        <v>0.38170343342908913</v>
      </c>
    </row>
    <row r="77" spans="1:17">
      <c r="A77" s="4" t="s">
        <v>114</v>
      </c>
      <c r="B77" s="4">
        <v>50</v>
      </c>
      <c r="C77" s="4" t="s">
        <v>98</v>
      </c>
      <c r="D77" s="4">
        <f>CONVERT(5,"ft","cm")+CONVERT(10,"in","cm")</f>
        <v>177.8</v>
      </c>
      <c r="E77" s="4">
        <f t="shared" si="3"/>
        <v>5.8333333333333339</v>
      </c>
      <c r="F77" s="4">
        <f>8.5</f>
        <v>8.5</v>
      </c>
      <c r="G77" s="4">
        <v>15.7029</v>
      </c>
      <c r="H77" s="4">
        <v>6.9688999999999997</v>
      </c>
      <c r="I77" s="30">
        <f t="shared" si="4"/>
        <v>5.2275541478513501E-2</v>
      </c>
    </row>
    <row r="78" spans="1:17">
      <c r="A78" s="4" t="s">
        <v>115</v>
      </c>
      <c r="B78" s="4">
        <v>50</v>
      </c>
      <c r="C78" s="4" t="s">
        <v>98</v>
      </c>
      <c r="D78" s="4">
        <f t="shared" ref="D78:D84" si="6">CONVERT(5,"ft","cm")+CONVERT(10,"in","cm")</f>
        <v>177.8</v>
      </c>
      <c r="E78" s="4">
        <f t="shared" si="3"/>
        <v>5.8333333333333339</v>
      </c>
      <c r="F78" s="4">
        <f>3</f>
        <v>3</v>
      </c>
      <c r="G78" s="4">
        <v>15.6035</v>
      </c>
      <c r="H78" s="4">
        <v>23.194199999999999</v>
      </c>
      <c r="I78" s="30">
        <f t="shared" si="4"/>
        <v>0.57906707212164432</v>
      </c>
    </row>
    <row r="79" spans="1:17">
      <c r="A79" s="4" t="s">
        <v>116</v>
      </c>
      <c r="B79" s="4">
        <v>50</v>
      </c>
      <c r="C79" s="4" t="s">
        <v>98</v>
      </c>
      <c r="D79" s="4">
        <f t="shared" si="6"/>
        <v>177.8</v>
      </c>
      <c r="E79" s="4">
        <f t="shared" si="3"/>
        <v>5.8333333333333339</v>
      </c>
      <c r="F79" s="4">
        <f>8.5</f>
        <v>8.5</v>
      </c>
      <c r="G79" s="4">
        <v>11.835100000000001</v>
      </c>
      <c r="H79" s="4">
        <v>6.7015000000000002</v>
      </c>
      <c r="I79" s="30">
        <f t="shared" si="4"/>
        <v>4.8340831742427377E-2</v>
      </c>
    </row>
    <row r="80" spans="1:17">
      <c r="A80" s="4" t="s">
        <v>117</v>
      </c>
      <c r="B80" s="4">
        <v>50</v>
      </c>
      <c r="C80" s="4" t="s">
        <v>98</v>
      </c>
      <c r="D80" s="4">
        <f t="shared" si="6"/>
        <v>177.8</v>
      </c>
      <c r="E80" s="4">
        <f t="shared" si="3"/>
        <v>5.8333333333333339</v>
      </c>
      <c r="F80" s="4">
        <f>3</f>
        <v>3</v>
      </c>
      <c r="G80" s="4">
        <v>11.717000000000001</v>
      </c>
      <c r="H80" s="4">
        <v>26.6417</v>
      </c>
      <c r="I80" s="30">
        <f t="shared" si="4"/>
        <v>0.76400102611281628</v>
      </c>
    </row>
    <row r="81" spans="1:9">
      <c r="A81" s="4" t="s">
        <v>118</v>
      </c>
      <c r="B81" s="4">
        <v>50</v>
      </c>
      <c r="C81" s="4" t="s">
        <v>98</v>
      </c>
      <c r="D81" s="4">
        <f t="shared" si="6"/>
        <v>177.8</v>
      </c>
      <c r="E81" s="4">
        <f t="shared" si="3"/>
        <v>5.8333333333333339</v>
      </c>
      <c r="F81" s="4">
        <f>8.5</f>
        <v>8.5</v>
      </c>
      <c r="G81" s="4">
        <v>7.8784999999999998</v>
      </c>
      <c r="H81" s="4">
        <v>19.014500000000002</v>
      </c>
      <c r="I81" s="30">
        <f t="shared" si="4"/>
        <v>0.38917048381839831</v>
      </c>
    </row>
    <row r="82" spans="1:9">
      <c r="A82" s="4" t="s">
        <v>119</v>
      </c>
      <c r="B82" s="4">
        <v>50</v>
      </c>
      <c r="C82" s="4" t="s">
        <v>98</v>
      </c>
      <c r="D82" s="4">
        <f t="shared" si="6"/>
        <v>177.8</v>
      </c>
      <c r="E82" s="4">
        <f t="shared" si="3"/>
        <v>5.8333333333333339</v>
      </c>
      <c r="F82" s="4">
        <f>3</f>
        <v>3</v>
      </c>
      <c r="G82" s="4">
        <v>7.9122000000000003</v>
      </c>
      <c r="H82" s="4">
        <v>26.207999999999998</v>
      </c>
      <c r="I82" s="30">
        <f t="shared" si="4"/>
        <v>0.73932915865831728</v>
      </c>
    </row>
    <row r="83" spans="1:9">
      <c r="A83" s="4" t="s">
        <v>120</v>
      </c>
      <c r="B83" s="4">
        <v>50</v>
      </c>
      <c r="C83" s="4" t="s">
        <v>98</v>
      </c>
      <c r="D83" s="4">
        <f t="shared" si="6"/>
        <v>177.8</v>
      </c>
      <c r="E83" s="4">
        <f t="shared" si="3"/>
        <v>5.8333333333333339</v>
      </c>
      <c r="F83" s="4">
        <f>8.5</f>
        <v>8.5</v>
      </c>
      <c r="G83" s="4">
        <v>4.2149999999999999</v>
      </c>
      <c r="H83" s="4">
        <v>22.096</v>
      </c>
      <c r="I83" s="30">
        <f t="shared" si="4"/>
        <v>0.5255298599486089</v>
      </c>
    </row>
    <row r="84" spans="1:9">
      <c r="A84" s="4" t="s">
        <v>121</v>
      </c>
      <c r="B84" s="4">
        <v>50</v>
      </c>
      <c r="C84" s="4" t="s">
        <v>98</v>
      </c>
      <c r="D84" s="4">
        <f t="shared" si="6"/>
        <v>177.8</v>
      </c>
      <c r="E84" s="4">
        <f t="shared" si="3"/>
        <v>5.8333333333333339</v>
      </c>
      <c r="F84" s="4">
        <f>3</f>
        <v>3</v>
      </c>
      <c r="G84" s="4">
        <v>4.1288999999999998</v>
      </c>
      <c r="H84" s="4">
        <v>26.167999999999999</v>
      </c>
      <c r="I84" s="30">
        <f t="shared" si="4"/>
        <v>0.73707407637037503</v>
      </c>
    </row>
    <row r="85" spans="1:9">
      <c r="A85" s="149" t="s">
        <v>122</v>
      </c>
      <c r="B85" s="149">
        <v>50</v>
      </c>
      <c r="C85" s="149" t="s">
        <v>98</v>
      </c>
      <c r="D85" s="149">
        <f>CONVERT(7.5,"ft","cm")</f>
        <v>228.6</v>
      </c>
      <c r="E85" s="149">
        <f t="shared" si="3"/>
        <v>7.5</v>
      </c>
      <c r="F85" s="149">
        <f>8.5</f>
        <v>8.5</v>
      </c>
      <c r="G85" s="149">
        <v>15.382</v>
      </c>
      <c r="H85" s="149">
        <v>12.306100000000001</v>
      </c>
      <c r="I85" s="150">
        <f t="shared" si="4"/>
        <v>0.1630087639866252</v>
      </c>
    </row>
    <row r="86" spans="1:9">
      <c r="A86" s="149" t="s">
        <v>123</v>
      </c>
      <c r="B86" s="149">
        <v>50</v>
      </c>
      <c r="C86" s="149" t="s">
        <v>98</v>
      </c>
      <c r="D86" s="149">
        <f t="shared" ref="D86:D92" si="7">CONVERT(7.5,"ft","cm")</f>
        <v>228.6</v>
      </c>
      <c r="E86" s="149">
        <f t="shared" si="3"/>
        <v>7.5</v>
      </c>
      <c r="F86" s="149">
        <f>3</f>
        <v>3</v>
      </c>
      <c r="G86" s="149">
        <v>15.534599999999999</v>
      </c>
      <c r="H86" s="149">
        <v>15.6607</v>
      </c>
      <c r="I86" s="150">
        <f t="shared" si="4"/>
        <v>0.26399300226343508</v>
      </c>
    </row>
    <row r="87" spans="1:9">
      <c r="A87" s="149" t="s">
        <v>124</v>
      </c>
      <c r="B87" s="149">
        <v>50</v>
      </c>
      <c r="C87" s="149" t="s">
        <v>98</v>
      </c>
      <c r="D87" s="149">
        <f t="shared" si="7"/>
        <v>228.6</v>
      </c>
      <c r="E87" s="149">
        <f t="shared" si="3"/>
        <v>7.5</v>
      </c>
      <c r="F87" s="149">
        <f>8.5</f>
        <v>8.5</v>
      </c>
      <c r="G87" s="149">
        <v>11.6297</v>
      </c>
      <c r="H87" s="149">
        <v>12.3483</v>
      </c>
      <c r="I87" s="150">
        <f t="shared" si="4"/>
        <v>0.16412865810419122</v>
      </c>
    </row>
    <row r="88" spans="1:9">
      <c r="A88" s="149" t="s">
        <v>125</v>
      </c>
      <c r="B88" s="149">
        <v>50</v>
      </c>
      <c r="C88" s="149" t="s">
        <v>98</v>
      </c>
      <c r="D88" s="149">
        <f t="shared" si="7"/>
        <v>228.6</v>
      </c>
      <c r="E88" s="149">
        <f t="shared" si="3"/>
        <v>7.5</v>
      </c>
      <c r="F88" s="149">
        <f>3</f>
        <v>3</v>
      </c>
      <c r="G88" s="149">
        <v>11.6671</v>
      </c>
      <c r="H88" s="149">
        <v>18.0928</v>
      </c>
      <c r="I88" s="150">
        <f t="shared" si="4"/>
        <v>0.35235597440083777</v>
      </c>
    </row>
    <row r="89" spans="1:9">
      <c r="A89" s="149" t="s">
        <v>126</v>
      </c>
      <c r="B89" s="149">
        <v>50</v>
      </c>
      <c r="C89" s="149" t="s">
        <v>98</v>
      </c>
      <c r="D89" s="149">
        <f t="shared" si="7"/>
        <v>228.6</v>
      </c>
      <c r="E89" s="149">
        <f t="shared" si="3"/>
        <v>7.5</v>
      </c>
      <c r="F89" s="149">
        <f>8.5</f>
        <v>8.5</v>
      </c>
      <c r="G89" s="149">
        <v>7.7823000000000002</v>
      </c>
      <c r="H89" s="149">
        <v>19.584099999999999</v>
      </c>
      <c r="I89" s="150">
        <f t="shared" si="4"/>
        <v>0.41283576168228719</v>
      </c>
    </row>
    <row r="90" spans="1:9">
      <c r="A90" s="149" t="s">
        <v>127</v>
      </c>
      <c r="B90" s="149">
        <v>50</v>
      </c>
      <c r="C90" s="149" t="s">
        <v>98</v>
      </c>
      <c r="D90" s="149">
        <f t="shared" si="7"/>
        <v>228.6</v>
      </c>
      <c r="E90" s="149">
        <f t="shared" si="3"/>
        <v>7.5</v>
      </c>
      <c r="F90" s="149">
        <f>3</f>
        <v>3</v>
      </c>
      <c r="G90" s="149">
        <v>7.8937999999999997</v>
      </c>
      <c r="H90" s="149">
        <v>22.4755</v>
      </c>
      <c r="I90" s="150">
        <f t="shared" si="4"/>
        <v>0.54373688982621027</v>
      </c>
    </row>
    <row r="91" spans="1:9">
      <c r="A91" s="149" t="s">
        <v>128</v>
      </c>
      <c r="B91" s="149">
        <v>50</v>
      </c>
      <c r="C91" s="149" t="s">
        <v>98</v>
      </c>
      <c r="D91" s="149">
        <f t="shared" si="7"/>
        <v>228.6</v>
      </c>
      <c r="E91" s="149">
        <f t="shared" si="3"/>
        <v>7.5</v>
      </c>
      <c r="F91" s="149">
        <f>8.5</f>
        <v>8.5</v>
      </c>
      <c r="G91" s="149">
        <v>4.0458999999999996</v>
      </c>
      <c r="H91" s="149">
        <v>24.616399999999999</v>
      </c>
      <c r="I91" s="150">
        <f t="shared" si="4"/>
        <v>0.65225761068744359</v>
      </c>
    </row>
    <row r="92" spans="1:9">
      <c r="A92" s="149" t="s">
        <v>129</v>
      </c>
      <c r="B92" s="149">
        <v>50</v>
      </c>
      <c r="C92" s="149" t="s">
        <v>98</v>
      </c>
      <c r="D92" s="149">
        <f t="shared" si="7"/>
        <v>228.6</v>
      </c>
      <c r="E92" s="149">
        <f t="shared" si="3"/>
        <v>7.5</v>
      </c>
      <c r="F92" s="149">
        <f>3</f>
        <v>3</v>
      </c>
      <c r="G92" s="149">
        <v>4.1246</v>
      </c>
      <c r="H92" s="149">
        <v>26.0991</v>
      </c>
      <c r="I92" s="150">
        <f t="shared" si="4"/>
        <v>0.73319777351742199</v>
      </c>
    </row>
    <row r="93" spans="1:9">
      <c r="A93" s="151" t="s">
        <v>130</v>
      </c>
      <c r="B93" s="151">
        <v>50</v>
      </c>
      <c r="C93" s="151" t="s">
        <v>98</v>
      </c>
      <c r="D93" s="151">
        <f>CONVERT(8.5,"ft","cm")</f>
        <v>259.08000000000004</v>
      </c>
      <c r="E93" s="151">
        <f t="shared" si="3"/>
        <v>8.5000000000000018</v>
      </c>
      <c r="F93" s="151">
        <f>8.5</f>
        <v>8.5</v>
      </c>
      <c r="G93" s="151">
        <v>15.4816</v>
      </c>
      <c r="H93" s="151">
        <v>11.4724</v>
      </c>
      <c r="I93" s="152">
        <f t="shared" si="4"/>
        <v>0.14167024217937324</v>
      </c>
    </row>
    <row r="94" spans="1:9">
      <c r="A94" s="151" t="s">
        <v>131</v>
      </c>
      <c r="B94" s="151">
        <v>50</v>
      </c>
      <c r="C94" s="151" t="s">
        <v>98</v>
      </c>
      <c r="D94" s="151">
        <f t="shared" ref="D94:D100" si="8">CONVERT(8.5,"ft","cm")</f>
        <v>259.08000000000004</v>
      </c>
      <c r="E94" s="151">
        <f t="shared" si="3"/>
        <v>8.5000000000000018</v>
      </c>
      <c r="F94" s="151">
        <f>3</f>
        <v>3</v>
      </c>
      <c r="G94" s="151">
        <v>15.509499999999999</v>
      </c>
      <c r="H94" s="151">
        <v>15.417</v>
      </c>
      <c r="I94" s="152">
        <f t="shared" si="4"/>
        <v>0.25584080886911781</v>
      </c>
    </row>
    <row r="95" spans="1:9">
      <c r="A95" s="151" t="s">
        <v>132</v>
      </c>
      <c r="B95" s="151">
        <v>50</v>
      </c>
      <c r="C95" s="151" t="s">
        <v>98</v>
      </c>
      <c r="D95" s="151">
        <f t="shared" si="8"/>
        <v>259.08000000000004</v>
      </c>
      <c r="E95" s="151">
        <f t="shared" si="3"/>
        <v>8.5000000000000018</v>
      </c>
      <c r="F95" s="151">
        <f>8.5</f>
        <v>8.5</v>
      </c>
      <c r="G95" s="151">
        <v>11.6586</v>
      </c>
      <c r="H95" s="151">
        <v>13.0946</v>
      </c>
      <c r="I95" s="152">
        <f t="shared" si="4"/>
        <v>0.18456721024414274</v>
      </c>
    </row>
    <row r="96" spans="1:9">
      <c r="A96" s="151" t="s">
        <v>133</v>
      </c>
      <c r="B96" s="151">
        <v>50</v>
      </c>
      <c r="C96" s="151" t="s">
        <v>98</v>
      </c>
      <c r="D96" s="151">
        <f t="shared" si="8"/>
        <v>259.08000000000004</v>
      </c>
      <c r="E96" s="151">
        <f t="shared" si="3"/>
        <v>8.5000000000000018</v>
      </c>
      <c r="F96" s="151">
        <f>3</f>
        <v>3</v>
      </c>
      <c r="G96" s="151">
        <v>11.692399999999999</v>
      </c>
      <c r="H96" s="151">
        <v>15.4297</v>
      </c>
      <c r="I96" s="152">
        <f t="shared" si="4"/>
        <v>0.25626248838574067</v>
      </c>
    </row>
    <row r="97" spans="1:9">
      <c r="A97" s="151" t="s">
        <v>134</v>
      </c>
      <c r="B97" s="151">
        <v>50</v>
      </c>
      <c r="C97" s="151" t="s">
        <v>98</v>
      </c>
      <c r="D97" s="151">
        <f t="shared" si="8"/>
        <v>259.08000000000004</v>
      </c>
      <c r="E97" s="151">
        <f t="shared" si="3"/>
        <v>8.5000000000000018</v>
      </c>
      <c r="F97" s="151">
        <f>8.5</f>
        <v>8.5</v>
      </c>
      <c r="G97" s="151">
        <v>7.9114000000000004</v>
      </c>
      <c r="H97" s="151">
        <v>19.148800000000001</v>
      </c>
      <c r="I97" s="152">
        <f t="shared" si="4"/>
        <v>0.394687344396911</v>
      </c>
    </row>
    <row r="98" spans="1:9">
      <c r="A98" s="151" t="s">
        <v>135</v>
      </c>
      <c r="B98" s="151">
        <v>50</v>
      </c>
      <c r="C98" s="151" t="s">
        <v>98</v>
      </c>
      <c r="D98" s="151">
        <f t="shared" si="8"/>
        <v>259.08000000000004</v>
      </c>
      <c r="E98" s="151">
        <f t="shared" si="3"/>
        <v>8.5000000000000018</v>
      </c>
      <c r="F98" s="151">
        <f>3</f>
        <v>3</v>
      </c>
      <c r="G98" s="151">
        <v>7.8662000000000001</v>
      </c>
      <c r="H98" s="151">
        <v>17.86</v>
      </c>
      <c r="I98" s="152">
        <f t="shared" si="4"/>
        <v>0.34334678391579004</v>
      </c>
    </row>
    <row r="99" spans="1:9">
      <c r="A99" s="151" t="s">
        <v>136</v>
      </c>
      <c r="B99" s="151">
        <v>50</v>
      </c>
      <c r="C99" s="151" t="s">
        <v>98</v>
      </c>
      <c r="D99" s="151">
        <f t="shared" si="8"/>
        <v>259.08000000000004</v>
      </c>
      <c r="E99" s="151">
        <f t="shared" si="3"/>
        <v>8.5000000000000018</v>
      </c>
      <c r="F99" s="151">
        <f>8.5</f>
        <v>8.5</v>
      </c>
      <c r="G99" s="151">
        <v>4.1014999999999997</v>
      </c>
      <c r="H99" s="151">
        <v>24.657900000000001</v>
      </c>
      <c r="I99" s="152">
        <f t="shared" si="4"/>
        <v>0.65445870491428482</v>
      </c>
    </row>
    <row r="100" spans="1:9">
      <c r="A100" s="151" t="s">
        <v>137</v>
      </c>
      <c r="B100" s="151">
        <v>50</v>
      </c>
      <c r="C100" s="151" t="s">
        <v>98</v>
      </c>
      <c r="D100" s="151">
        <f t="shared" si="8"/>
        <v>259.08000000000004</v>
      </c>
      <c r="E100" s="151">
        <f t="shared" si="3"/>
        <v>8.5000000000000018</v>
      </c>
      <c r="F100" s="151">
        <f>3</f>
        <v>3</v>
      </c>
      <c r="G100" s="151">
        <v>4.2129000000000003</v>
      </c>
      <c r="H100" s="151">
        <v>21.1265</v>
      </c>
      <c r="I100" s="152">
        <f t="shared" si="4"/>
        <v>0.48042453965984327</v>
      </c>
    </row>
    <row r="101" spans="1:9">
      <c r="A101" s="147" t="s">
        <v>138</v>
      </c>
      <c r="B101" s="147">
        <v>50</v>
      </c>
      <c r="C101" s="147" t="s">
        <v>98</v>
      </c>
      <c r="D101" s="147">
        <f>CONVERT(4,"ft","cm")</f>
        <v>121.92</v>
      </c>
      <c r="E101" s="147">
        <f t="shared" si="3"/>
        <v>4</v>
      </c>
      <c r="F101" s="147">
        <f>27</f>
        <v>27</v>
      </c>
      <c r="G101" s="147">
        <v>15.498799999999999</v>
      </c>
      <c r="H101" s="147">
        <v>19.118099999999998</v>
      </c>
      <c r="I101" s="148">
        <f t="shared" si="4"/>
        <v>0.39342280684248865</v>
      </c>
    </row>
    <row r="102" spans="1:9">
      <c r="A102" s="147" t="s">
        <v>139</v>
      </c>
      <c r="B102" s="147">
        <v>50</v>
      </c>
      <c r="C102" s="147" t="s">
        <v>98</v>
      </c>
      <c r="D102" s="147">
        <f t="shared" ref="D102:D115" si="9">CONVERT(4,"ft","cm")</f>
        <v>121.92</v>
      </c>
      <c r="E102" s="147">
        <f t="shared" si="3"/>
        <v>4</v>
      </c>
      <c r="F102" s="147">
        <f>21.5</f>
        <v>21.5</v>
      </c>
      <c r="G102" s="147">
        <v>15.526300000000001</v>
      </c>
      <c r="H102" s="147">
        <v>19.127800000000001</v>
      </c>
      <c r="I102" s="148">
        <f t="shared" si="4"/>
        <v>0.39382213202065292</v>
      </c>
    </row>
    <row r="103" spans="1:9">
      <c r="A103" s="147" t="s">
        <v>140</v>
      </c>
      <c r="B103" s="147">
        <v>50</v>
      </c>
      <c r="C103" s="147" t="s">
        <v>98</v>
      </c>
      <c r="D103" s="147">
        <f t="shared" si="9"/>
        <v>121.92</v>
      </c>
      <c r="E103" s="147">
        <f t="shared" si="3"/>
        <v>4</v>
      </c>
      <c r="F103" s="147">
        <f>27</f>
        <v>27</v>
      </c>
      <c r="G103" s="147">
        <v>11.652699999999999</v>
      </c>
      <c r="H103" s="147">
        <v>19.099699999999999</v>
      </c>
      <c r="I103" s="148">
        <f t="shared" si="4"/>
        <v>0.39266588056752494</v>
      </c>
    </row>
    <row r="104" spans="1:9">
      <c r="A104" s="147" t="s">
        <v>141</v>
      </c>
      <c r="B104" s="147">
        <v>50</v>
      </c>
      <c r="C104" s="147" t="s">
        <v>98</v>
      </c>
      <c r="D104" s="147">
        <f t="shared" si="9"/>
        <v>121.92</v>
      </c>
      <c r="E104" s="147">
        <f t="shared" si="3"/>
        <v>4</v>
      </c>
      <c r="F104" s="147">
        <f>21.5</f>
        <v>21.5</v>
      </c>
      <c r="G104" s="147">
        <v>11.6806</v>
      </c>
      <c r="H104" s="147">
        <v>18.6555</v>
      </c>
      <c r="I104" s="148">
        <f t="shared" si="4"/>
        <v>0.37461387727462958</v>
      </c>
    </row>
    <row r="105" spans="1:9">
      <c r="A105" s="147" t="s">
        <v>142</v>
      </c>
      <c r="B105" s="147">
        <v>50</v>
      </c>
      <c r="C105" s="147" t="s">
        <v>98</v>
      </c>
      <c r="D105" s="147">
        <f t="shared" si="9"/>
        <v>121.92</v>
      </c>
      <c r="E105" s="147">
        <f t="shared" si="3"/>
        <v>4</v>
      </c>
      <c r="F105" s="147">
        <f>27</f>
        <v>27</v>
      </c>
      <c r="G105" s="147">
        <v>7.9725999999999999</v>
      </c>
      <c r="H105" s="147">
        <v>19.3003</v>
      </c>
      <c r="I105" s="148">
        <f t="shared" si="4"/>
        <v>0.40095736381715824</v>
      </c>
    </row>
    <row r="106" spans="1:9">
      <c r="A106" s="147" t="s">
        <v>143</v>
      </c>
      <c r="B106" s="147">
        <v>50</v>
      </c>
      <c r="C106" s="147" t="s">
        <v>98</v>
      </c>
      <c r="D106" s="147">
        <f t="shared" si="9"/>
        <v>121.92</v>
      </c>
      <c r="E106" s="147">
        <f t="shared" si="3"/>
        <v>4</v>
      </c>
      <c r="F106" s="147">
        <f>21.5</f>
        <v>21.5</v>
      </c>
      <c r="G106" s="147">
        <v>8.0075000000000003</v>
      </c>
      <c r="H106" s="147">
        <v>18.4499</v>
      </c>
      <c r="I106" s="148">
        <f t="shared" si="4"/>
        <v>0.36640222969022335</v>
      </c>
    </row>
    <row r="107" spans="1:9">
      <c r="A107" s="147" t="s">
        <v>144</v>
      </c>
      <c r="B107" s="147">
        <v>50</v>
      </c>
      <c r="C107" s="147" t="s">
        <v>98</v>
      </c>
      <c r="D107" s="147">
        <f t="shared" si="9"/>
        <v>121.92</v>
      </c>
      <c r="E107" s="147">
        <f t="shared" si="3"/>
        <v>4</v>
      </c>
      <c r="F107" s="147">
        <f>27</f>
        <v>27</v>
      </c>
      <c r="G107" s="147">
        <v>4.1478000000000002</v>
      </c>
      <c r="H107" s="147">
        <v>20.8368</v>
      </c>
      <c r="I107" s="148">
        <f t="shared" si="4"/>
        <v>0.46733910347820695</v>
      </c>
    </row>
    <row r="108" spans="1:9">
      <c r="A108" s="147" t="s">
        <v>145</v>
      </c>
      <c r="B108" s="147">
        <v>50</v>
      </c>
      <c r="C108" s="147" t="s">
        <v>98</v>
      </c>
      <c r="D108" s="147">
        <f t="shared" si="9"/>
        <v>121.92</v>
      </c>
      <c r="E108" s="147">
        <f t="shared" si="3"/>
        <v>4</v>
      </c>
      <c r="F108" s="147">
        <f>21.5</f>
        <v>21.5</v>
      </c>
      <c r="G108" s="147">
        <v>4.1371000000000002</v>
      </c>
      <c r="H108" s="147">
        <v>19.980599999999999</v>
      </c>
      <c r="I108" s="148">
        <f t="shared" si="4"/>
        <v>0.42972154233058479</v>
      </c>
    </row>
    <row r="109" spans="1:9">
      <c r="A109" s="147" t="s">
        <v>146</v>
      </c>
      <c r="B109" s="147">
        <v>50</v>
      </c>
      <c r="C109" s="147" t="s">
        <v>98</v>
      </c>
      <c r="D109" s="147">
        <f t="shared" si="9"/>
        <v>121.92</v>
      </c>
      <c r="E109" s="147">
        <f t="shared" si="3"/>
        <v>4</v>
      </c>
      <c r="F109" s="147">
        <f>17.5</f>
        <v>17.5</v>
      </c>
      <c r="G109" s="147">
        <v>15.424200000000001</v>
      </c>
      <c r="H109" s="147">
        <v>18.868500000000001</v>
      </c>
      <c r="I109" s="148">
        <f t="shared" si="4"/>
        <v>0.38321705323098154</v>
      </c>
    </row>
    <row r="110" spans="1:9">
      <c r="A110" s="147" t="s">
        <v>147</v>
      </c>
      <c r="B110" s="147">
        <v>50</v>
      </c>
      <c r="C110" s="147" t="s">
        <v>98</v>
      </c>
      <c r="D110" s="147">
        <f t="shared" si="9"/>
        <v>121.92</v>
      </c>
      <c r="E110" s="147">
        <f t="shared" si="3"/>
        <v>4</v>
      </c>
      <c r="F110" s="147">
        <f>12.5</f>
        <v>12.5</v>
      </c>
      <c r="G110" s="147">
        <v>15.442600000000001</v>
      </c>
      <c r="H110" s="147">
        <v>18.888500000000001</v>
      </c>
      <c r="I110" s="148">
        <f t="shared" si="4"/>
        <v>0.38402987916218889</v>
      </c>
    </row>
    <row r="111" spans="1:9">
      <c r="A111" s="147" t="s">
        <v>148</v>
      </c>
      <c r="B111" s="147">
        <v>50</v>
      </c>
      <c r="C111" s="147" t="s">
        <v>98</v>
      </c>
      <c r="D111" s="147">
        <f t="shared" si="9"/>
        <v>121.92</v>
      </c>
      <c r="E111" s="147">
        <f t="shared" si="3"/>
        <v>4</v>
      </c>
      <c r="F111" s="147">
        <f>17.5</f>
        <v>17.5</v>
      </c>
      <c r="G111" s="147">
        <v>11.624000000000001</v>
      </c>
      <c r="H111" s="147">
        <v>18.361499999999999</v>
      </c>
      <c r="I111" s="148">
        <f t="shared" si="4"/>
        <v>0.36289951572090645</v>
      </c>
    </row>
    <row r="112" spans="1:9">
      <c r="A112" s="147" t="s">
        <v>149</v>
      </c>
      <c r="B112" s="147">
        <v>50</v>
      </c>
      <c r="C112" s="147" t="s">
        <v>98</v>
      </c>
      <c r="D112" s="147">
        <f t="shared" si="9"/>
        <v>121.92</v>
      </c>
      <c r="E112" s="147">
        <f t="shared" si="3"/>
        <v>4</v>
      </c>
      <c r="F112" s="147">
        <f>12.5</f>
        <v>12.5</v>
      </c>
      <c r="G112" s="147">
        <v>11.609500000000001</v>
      </c>
      <c r="H112" s="147">
        <v>18.374500000000001</v>
      </c>
      <c r="I112" s="148">
        <f t="shared" si="4"/>
        <v>0.36341356563789512</v>
      </c>
    </row>
    <row r="113" spans="1:9">
      <c r="A113" s="147" t="s">
        <v>150</v>
      </c>
      <c r="B113" s="147">
        <v>50</v>
      </c>
      <c r="C113" s="147" t="s">
        <v>98</v>
      </c>
      <c r="D113" s="147">
        <f t="shared" si="9"/>
        <v>121.92</v>
      </c>
      <c r="E113" s="147">
        <f t="shared" si="3"/>
        <v>4</v>
      </c>
      <c r="F113" s="147">
        <f>17.5</f>
        <v>17.5</v>
      </c>
      <c r="G113" s="147">
        <v>7.8746</v>
      </c>
      <c r="H113" s="147">
        <v>18.4131</v>
      </c>
      <c r="I113" s="148">
        <f t="shared" si="4"/>
        <v>0.36494204238095979</v>
      </c>
    </row>
    <row r="114" spans="1:9">
      <c r="A114" s="147" t="s">
        <v>151</v>
      </c>
      <c r="B114" s="147">
        <v>50</v>
      </c>
      <c r="C114" s="147" t="s">
        <v>98</v>
      </c>
      <c r="D114" s="147">
        <f t="shared" si="9"/>
        <v>121.92</v>
      </c>
      <c r="E114" s="147">
        <f t="shared" si="3"/>
        <v>4</v>
      </c>
      <c r="F114" s="147">
        <f>12.5</f>
        <v>12.5</v>
      </c>
      <c r="G114" s="147">
        <v>7.9539999999999997</v>
      </c>
      <c r="H114" s="147">
        <v>17.989699999999999</v>
      </c>
      <c r="I114" s="148">
        <f t="shared" si="4"/>
        <v>0.34835168589746901</v>
      </c>
    </row>
    <row r="115" spans="1:9">
      <c r="A115" s="147" t="s">
        <v>152</v>
      </c>
      <c r="B115" s="147">
        <v>50</v>
      </c>
      <c r="C115" s="147" t="s">
        <v>98</v>
      </c>
      <c r="D115" s="147">
        <f t="shared" si="9"/>
        <v>121.92</v>
      </c>
      <c r="E115" s="147">
        <f t="shared" si="3"/>
        <v>4</v>
      </c>
      <c r="F115" s="147">
        <f>17.5</f>
        <v>17.5</v>
      </c>
      <c r="G115" s="147">
        <v>4.1002999999999998</v>
      </c>
      <c r="H115" s="147">
        <v>19.624400000000001</v>
      </c>
      <c r="I115" s="148">
        <f t="shared" si="4"/>
        <v>0.41453656991202875</v>
      </c>
    </row>
    <row r="116" spans="1:9">
      <c r="A116" s="147" t="s">
        <v>153</v>
      </c>
      <c r="B116" s="147">
        <v>50</v>
      </c>
      <c r="C116" s="147" t="s">
        <v>98</v>
      </c>
      <c r="D116" s="147">
        <f>CONVERT(4,"ft","cm")</f>
        <v>121.92</v>
      </c>
      <c r="E116" s="147">
        <f t="shared" si="3"/>
        <v>4</v>
      </c>
      <c r="F116" s="147">
        <f>12.5</f>
        <v>12.5</v>
      </c>
      <c r="G116" s="147">
        <v>4.1635999999999997</v>
      </c>
      <c r="H116" s="147">
        <v>18.707599999999999</v>
      </c>
      <c r="I116" s="148">
        <f t="shared" si="4"/>
        <v>0.37670919892395338</v>
      </c>
    </row>
    <row r="117" spans="1:9">
      <c r="A117" s="4" t="s">
        <v>154</v>
      </c>
      <c r="B117" s="4">
        <v>50</v>
      </c>
      <c r="C117" s="4" t="s">
        <v>98</v>
      </c>
      <c r="D117" s="4">
        <f>CONVERT(5,"ft","cm")</f>
        <v>152.4</v>
      </c>
      <c r="E117" s="4">
        <f t="shared" si="3"/>
        <v>5</v>
      </c>
      <c r="F117" s="4">
        <f>27</f>
        <v>27</v>
      </c>
      <c r="G117" s="4">
        <v>15.7235</v>
      </c>
      <c r="H117" s="4">
        <v>20.9253</v>
      </c>
      <c r="I117" s="30">
        <f t="shared" si="4"/>
        <v>0.47131738648164784</v>
      </c>
    </row>
    <row r="118" spans="1:9">
      <c r="A118" s="4" t="s">
        <v>155</v>
      </c>
      <c r="B118" s="4">
        <v>50</v>
      </c>
      <c r="C118" s="4" t="s">
        <v>98</v>
      </c>
      <c r="D118" s="4">
        <f t="shared" ref="D118:D124" si="10">CONVERT(5,"ft","cm")</f>
        <v>152.4</v>
      </c>
      <c r="E118" s="4">
        <f t="shared" si="3"/>
        <v>5</v>
      </c>
      <c r="F118" s="4">
        <f t="shared" ref="F118:F146" si="11">21.5</f>
        <v>21.5</v>
      </c>
      <c r="G118" s="4">
        <v>15.728300000000001</v>
      </c>
      <c r="H118" s="4">
        <v>17.412099999999999</v>
      </c>
      <c r="I118" s="30">
        <f t="shared" si="4"/>
        <v>0.32634155611054277</v>
      </c>
    </row>
    <row r="119" spans="1:9">
      <c r="A119" s="4" t="s">
        <v>156</v>
      </c>
      <c r="B119" s="4">
        <v>50</v>
      </c>
      <c r="C119" s="4" t="s">
        <v>98</v>
      </c>
      <c r="D119" s="4">
        <f t="shared" si="10"/>
        <v>152.4</v>
      </c>
      <c r="E119" s="4">
        <f t="shared" si="3"/>
        <v>5</v>
      </c>
      <c r="F119" s="4">
        <f>27</f>
        <v>27</v>
      </c>
      <c r="G119" s="4">
        <v>11.9674</v>
      </c>
      <c r="H119" s="4">
        <v>20.361699999999999</v>
      </c>
      <c r="I119" s="30">
        <f t="shared" si="4"/>
        <v>0.44627046315169022</v>
      </c>
    </row>
    <row r="120" spans="1:9">
      <c r="A120" s="4" t="s">
        <v>157</v>
      </c>
      <c r="B120" s="4">
        <v>50</v>
      </c>
      <c r="C120" s="4" t="s">
        <v>98</v>
      </c>
      <c r="D120" s="4">
        <f t="shared" si="10"/>
        <v>152.4</v>
      </c>
      <c r="E120" s="4">
        <f t="shared" si="3"/>
        <v>5</v>
      </c>
      <c r="F120" s="4">
        <f t="shared" si="11"/>
        <v>21.5</v>
      </c>
      <c r="G120" s="4">
        <v>12.019399999999999</v>
      </c>
      <c r="H120" s="4">
        <v>18.257000000000001</v>
      </c>
      <c r="I120" s="30">
        <f t="shared" si="4"/>
        <v>0.35878056197084623</v>
      </c>
    </row>
    <row r="121" spans="1:9">
      <c r="A121" s="4" t="s">
        <v>158</v>
      </c>
      <c r="B121" s="4">
        <v>50</v>
      </c>
      <c r="C121" s="4" t="s">
        <v>98</v>
      </c>
      <c r="D121" s="4">
        <f t="shared" si="10"/>
        <v>152.4</v>
      </c>
      <c r="E121" s="4">
        <f t="shared" si="3"/>
        <v>5</v>
      </c>
      <c r="F121" s="4">
        <f>27</f>
        <v>27</v>
      </c>
      <c r="G121" s="4">
        <v>8.1466999999999992</v>
      </c>
      <c r="H121" s="4">
        <v>21.488199999999999</v>
      </c>
      <c r="I121" s="30">
        <f t="shared" si="4"/>
        <v>0.49701574807455173</v>
      </c>
    </row>
    <row r="122" spans="1:9">
      <c r="A122" s="4" t="s">
        <v>159</v>
      </c>
      <c r="B122" s="4">
        <v>50</v>
      </c>
      <c r="C122" s="4" t="s">
        <v>98</v>
      </c>
      <c r="D122" s="4">
        <f t="shared" si="10"/>
        <v>152.4</v>
      </c>
      <c r="E122" s="4">
        <f t="shared" si="3"/>
        <v>5</v>
      </c>
      <c r="F122" s="4">
        <f t="shared" si="11"/>
        <v>21.5</v>
      </c>
      <c r="G122" s="4">
        <v>8.2249999999999996</v>
      </c>
      <c r="H122" s="4">
        <v>19.603300000000001</v>
      </c>
      <c r="I122" s="30">
        <f t="shared" si="4"/>
        <v>0.41364563623536965</v>
      </c>
    </row>
    <row r="123" spans="1:9">
      <c r="A123" s="4" t="s">
        <v>160</v>
      </c>
      <c r="B123" s="4">
        <v>50</v>
      </c>
      <c r="C123" s="4" t="s">
        <v>98</v>
      </c>
      <c r="D123" s="4">
        <f t="shared" si="10"/>
        <v>152.4</v>
      </c>
      <c r="E123" s="4">
        <f t="shared" si="3"/>
        <v>5</v>
      </c>
      <c r="F123" s="4">
        <f>27</f>
        <v>27</v>
      </c>
      <c r="G123" s="4">
        <v>4.3254000000000001</v>
      </c>
      <c r="H123" s="4">
        <v>21.6435</v>
      </c>
      <c r="I123" s="30">
        <f t="shared" si="4"/>
        <v>0.50422579524846545</v>
      </c>
    </row>
    <row r="124" spans="1:9">
      <c r="A124" s="4" t="s">
        <v>161</v>
      </c>
      <c r="B124" s="4">
        <v>50</v>
      </c>
      <c r="C124" s="4" t="s">
        <v>98</v>
      </c>
      <c r="D124" s="4">
        <f t="shared" si="10"/>
        <v>152.4</v>
      </c>
      <c r="E124" s="4">
        <f t="shared" si="3"/>
        <v>5</v>
      </c>
      <c r="F124" s="4">
        <f t="shared" si="11"/>
        <v>21.5</v>
      </c>
      <c r="G124" s="4">
        <v>4.3602999999999996</v>
      </c>
      <c r="H124" s="4">
        <v>21.442299999999999</v>
      </c>
      <c r="I124" s="30">
        <f t="shared" si="4"/>
        <v>0.49489470881684833</v>
      </c>
    </row>
    <row r="125" spans="1:9">
      <c r="A125" s="4" t="s">
        <v>162</v>
      </c>
      <c r="B125" s="4">
        <v>50</v>
      </c>
      <c r="C125" s="4" t="s">
        <v>98</v>
      </c>
      <c r="D125" s="4">
        <f>CONVERT(5,"ft","cm")+CONVERT(10,"in","cm")</f>
        <v>177.8</v>
      </c>
      <c r="E125" s="4">
        <f t="shared" si="3"/>
        <v>5.8333333333333339</v>
      </c>
      <c r="F125" s="4">
        <f>27</f>
        <v>27</v>
      </c>
      <c r="G125" s="4">
        <v>15.7667</v>
      </c>
      <c r="H125" s="4">
        <v>24.714600000000001</v>
      </c>
      <c r="I125" s="30">
        <f t="shared" si="4"/>
        <v>0.6574719763314526</v>
      </c>
    </row>
    <row r="126" spans="1:9">
      <c r="A126" s="4" t="s">
        <v>163</v>
      </c>
      <c r="B126" s="4">
        <v>50</v>
      </c>
      <c r="C126" s="4" t="s">
        <v>98</v>
      </c>
      <c r="D126" s="4">
        <f t="shared" ref="D126:D132" si="12">CONVERT(5,"ft","cm")+CONVERT(10,"in","cm")</f>
        <v>177.8</v>
      </c>
      <c r="E126" s="4">
        <f t="shared" ref="E126:E180" si="13">CONVERT(D126,"cm","ft")</f>
        <v>5.8333333333333339</v>
      </c>
      <c r="F126" s="4">
        <f t="shared" si="11"/>
        <v>21.5</v>
      </c>
      <c r="G126" s="4">
        <v>15.726000000000001</v>
      </c>
      <c r="H126" s="4">
        <v>13.876200000000001</v>
      </c>
      <c r="I126" s="30">
        <f t="shared" ref="I126:I180" si="14">CONVERT(H126,"cm","ft")^2</f>
        <v>0.20725793950337904</v>
      </c>
    </row>
    <row r="127" spans="1:9">
      <c r="A127" s="4" t="s">
        <v>164</v>
      </c>
      <c r="B127" s="4">
        <v>50</v>
      </c>
      <c r="C127" s="4" t="s">
        <v>98</v>
      </c>
      <c r="D127" s="4">
        <f t="shared" si="12"/>
        <v>177.8</v>
      </c>
      <c r="E127" s="4">
        <f t="shared" si="13"/>
        <v>5.8333333333333339</v>
      </c>
      <c r="F127" s="4">
        <f>27</f>
        <v>27</v>
      </c>
      <c r="G127" s="4">
        <v>11.991400000000001</v>
      </c>
      <c r="H127" s="4">
        <v>26.5122</v>
      </c>
      <c r="I127" s="30">
        <f t="shared" si="14"/>
        <v>0.75659176367102743</v>
      </c>
    </row>
    <row r="128" spans="1:9">
      <c r="A128" s="4" t="s">
        <v>165</v>
      </c>
      <c r="B128" s="4">
        <v>50</v>
      </c>
      <c r="C128" s="4" t="s">
        <v>98</v>
      </c>
      <c r="D128" s="4">
        <f t="shared" si="12"/>
        <v>177.8</v>
      </c>
      <c r="E128" s="4">
        <f t="shared" si="13"/>
        <v>5.8333333333333339</v>
      </c>
      <c r="F128" s="4">
        <f t="shared" si="11"/>
        <v>21.5</v>
      </c>
      <c r="G128" s="4">
        <v>11.8752</v>
      </c>
      <c r="H128" s="4">
        <v>15.6836</v>
      </c>
      <c r="I128" s="30">
        <f t="shared" si="14"/>
        <v>0.26476561903679363</v>
      </c>
    </row>
    <row r="129" spans="1:9">
      <c r="A129" s="4" t="s">
        <v>166</v>
      </c>
      <c r="B129" s="4">
        <v>50</v>
      </c>
      <c r="C129" s="4" t="s">
        <v>98</v>
      </c>
      <c r="D129" s="4">
        <f t="shared" si="12"/>
        <v>177.8</v>
      </c>
      <c r="E129" s="4">
        <f t="shared" si="13"/>
        <v>5.8333333333333339</v>
      </c>
      <c r="F129" s="4">
        <f>27</f>
        <v>27</v>
      </c>
      <c r="G129" s="4">
        <v>7.9622999999999999</v>
      </c>
      <c r="H129" s="4">
        <v>26.523800000000001</v>
      </c>
      <c r="I129" s="30">
        <f t="shared" si="14"/>
        <v>0.75725397838434572</v>
      </c>
    </row>
    <row r="130" spans="1:9">
      <c r="A130" s="4" t="s">
        <v>167</v>
      </c>
      <c r="B130" s="4">
        <v>50</v>
      </c>
      <c r="C130" s="4" t="s">
        <v>98</v>
      </c>
      <c r="D130" s="4">
        <f t="shared" si="12"/>
        <v>177.8</v>
      </c>
      <c r="E130" s="4">
        <f t="shared" si="13"/>
        <v>5.8333333333333339</v>
      </c>
      <c r="F130" s="4">
        <f t="shared" si="11"/>
        <v>21.5</v>
      </c>
      <c r="G130" s="4">
        <v>8.0375999999999994</v>
      </c>
      <c r="H130" s="4">
        <v>12.004099999999999</v>
      </c>
      <c r="I130" s="30">
        <f t="shared" si="14"/>
        <v>0.15510624497325384</v>
      </c>
    </row>
    <row r="131" spans="1:9">
      <c r="A131" s="4" t="s">
        <v>168</v>
      </c>
      <c r="B131" s="4">
        <v>50</v>
      </c>
      <c r="C131" s="4" t="s">
        <v>98</v>
      </c>
      <c r="D131" s="4">
        <f t="shared" si="12"/>
        <v>177.8</v>
      </c>
      <c r="E131" s="4">
        <f t="shared" si="13"/>
        <v>5.8333333333333339</v>
      </c>
      <c r="F131" s="4">
        <f>27</f>
        <v>27</v>
      </c>
      <c r="G131" s="4">
        <v>4.2291999999999996</v>
      </c>
      <c r="H131" s="4">
        <v>26.970600000000001</v>
      </c>
      <c r="I131" s="30">
        <f t="shared" si="14"/>
        <v>0.78298112134974274</v>
      </c>
    </row>
    <row r="132" spans="1:9">
      <c r="A132" s="4" t="s">
        <v>169</v>
      </c>
      <c r="B132" s="4">
        <v>50</v>
      </c>
      <c r="C132" s="4" t="s">
        <v>98</v>
      </c>
      <c r="D132" s="4">
        <f t="shared" si="12"/>
        <v>177.8</v>
      </c>
      <c r="E132" s="4">
        <f t="shared" si="13"/>
        <v>5.8333333333333339</v>
      </c>
      <c r="F132" s="4">
        <f t="shared" si="11"/>
        <v>21.5</v>
      </c>
      <c r="G132" s="4">
        <v>4.2209000000000003</v>
      </c>
      <c r="H132" s="4">
        <v>16.994299999999999</v>
      </c>
      <c r="I132" s="30">
        <f t="shared" si="14"/>
        <v>0.31086844143098008</v>
      </c>
    </row>
    <row r="133" spans="1:9">
      <c r="A133" s="149" t="s">
        <v>170</v>
      </c>
      <c r="B133" s="149">
        <v>50</v>
      </c>
      <c r="C133" s="149" t="s">
        <v>98</v>
      </c>
      <c r="D133" s="149">
        <f>CONVERT(7.5,"ft","cm")</f>
        <v>228.6</v>
      </c>
      <c r="E133" s="149">
        <f t="shared" si="13"/>
        <v>7.5</v>
      </c>
      <c r="F133" s="149">
        <f>27</f>
        <v>27</v>
      </c>
      <c r="G133" s="149">
        <v>15.265599999999999</v>
      </c>
      <c r="H133" s="149">
        <v>24.543399999999998</v>
      </c>
      <c r="I133" s="150">
        <f t="shared" si="14"/>
        <v>0.64839480339932887</v>
      </c>
    </row>
    <row r="134" spans="1:9">
      <c r="A134" s="149" t="s">
        <v>171</v>
      </c>
      <c r="B134" s="149">
        <v>50</v>
      </c>
      <c r="C134" s="149" t="s">
        <v>98</v>
      </c>
      <c r="D134" s="149">
        <f t="shared" ref="D134:D140" si="15">CONVERT(7.5,"ft","cm")</f>
        <v>228.6</v>
      </c>
      <c r="E134" s="149">
        <f t="shared" si="13"/>
        <v>7.5</v>
      </c>
      <c r="F134" s="149">
        <f t="shared" si="11"/>
        <v>21.5</v>
      </c>
      <c r="G134" s="149">
        <v>15.4024</v>
      </c>
      <c r="H134" s="149">
        <v>20.535599999999999</v>
      </c>
      <c r="I134" s="150">
        <f t="shared" si="14"/>
        <v>0.45392579980159969</v>
      </c>
    </row>
    <row r="135" spans="1:9">
      <c r="A135" s="149" t="s">
        <v>172</v>
      </c>
      <c r="B135" s="149">
        <v>50</v>
      </c>
      <c r="C135" s="149" t="s">
        <v>98</v>
      </c>
      <c r="D135" s="149">
        <f t="shared" si="15"/>
        <v>228.6</v>
      </c>
      <c r="E135" s="149">
        <f t="shared" si="13"/>
        <v>7.5</v>
      </c>
      <c r="F135" s="149">
        <f>27</f>
        <v>27</v>
      </c>
      <c r="G135" s="149">
        <v>11.488300000000001</v>
      </c>
      <c r="H135" s="149">
        <v>25.596599999999999</v>
      </c>
      <c r="I135" s="150">
        <f t="shared" si="14"/>
        <v>0.70523626736003486</v>
      </c>
    </row>
    <row r="136" spans="1:9">
      <c r="A136" s="149" t="s">
        <v>173</v>
      </c>
      <c r="B136" s="149">
        <v>50</v>
      </c>
      <c r="C136" s="149" t="s">
        <v>98</v>
      </c>
      <c r="D136" s="149">
        <f t="shared" si="15"/>
        <v>228.6</v>
      </c>
      <c r="E136" s="149">
        <f t="shared" si="13"/>
        <v>7.5</v>
      </c>
      <c r="F136" s="149">
        <f t="shared" si="11"/>
        <v>21.5</v>
      </c>
      <c r="G136" s="149">
        <v>11.5443</v>
      </c>
      <c r="H136" s="149">
        <v>17.0032</v>
      </c>
      <c r="I136" s="150">
        <f t="shared" si="14"/>
        <v>0.31119413341048902</v>
      </c>
    </row>
    <row r="137" spans="1:9">
      <c r="A137" s="149" t="s">
        <v>174</v>
      </c>
      <c r="B137" s="149">
        <v>50</v>
      </c>
      <c r="C137" s="149" t="s">
        <v>98</v>
      </c>
      <c r="D137" s="149">
        <f t="shared" si="15"/>
        <v>228.6</v>
      </c>
      <c r="E137" s="149">
        <f t="shared" si="13"/>
        <v>7.5</v>
      </c>
      <c r="F137" s="149">
        <f>27</f>
        <v>27</v>
      </c>
      <c r="G137" s="149">
        <v>7.7141000000000002</v>
      </c>
      <c r="H137" s="149">
        <v>25.197700000000001</v>
      </c>
      <c r="I137" s="150">
        <f t="shared" si="14"/>
        <v>0.6834265975472924</v>
      </c>
    </row>
    <row r="138" spans="1:9">
      <c r="A138" s="149" t="s">
        <v>175</v>
      </c>
      <c r="B138" s="149">
        <v>50</v>
      </c>
      <c r="C138" s="149" t="s">
        <v>98</v>
      </c>
      <c r="D138" s="149">
        <f t="shared" si="15"/>
        <v>228.6</v>
      </c>
      <c r="E138" s="149">
        <f t="shared" si="13"/>
        <v>7.5</v>
      </c>
      <c r="F138" s="149">
        <f t="shared" si="11"/>
        <v>21.5</v>
      </c>
      <c r="G138" s="149">
        <v>7.8095999999999997</v>
      </c>
      <c r="H138" s="149">
        <v>17.093299999999999</v>
      </c>
      <c r="I138" s="150">
        <f t="shared" si="14"/>
        <v>0.31450090857091439</v>
      </c>
    </row>
    <row r="139" spans="1:9">
      <c r="A139" s="149" t="s">
        <v>176</v>
      </c>
      <c r="B139" s="149">
        <v>50</v>
      </c>
      <c r="C139" s="149" t="s">
        <v>98</v>
      </c>
      <c r="D139" s="149">
        <f t="shared" si="15"/>
        <v>228.6</v>
      </c>
      <c r="E139" s="149">
        <f t="shared" si="13"/>
        <v>7.5</v>
      </c>
      <c r="F139" s="149">
        <f>27</f>
        <v>27</v>
      </c>
      <c r="G139" s="149">
        <v>3.9964</v>
      </c>
      <c r="H139" s="149">
        <v>25.1417</v>
      </c>
      <c r="I139" s="150">
        <f t="shared" si="14"/>
        <v>0.68039224431191936</v>
      </c>
    </row>
    <row r="140" spans="1:9">
      <c r="A140" s="149" t="s">
        <v>177</v>
      </c>
      <c r="B140" s="149">
        <v>50</v>
      </c>
      <c r="C140" s="149" t="s">
        <v>98</v>
      </c>
      <c r="D140" s="149">
        <f t="shared" si="15"/>
        <v>228.6</v>
      </c>
      <c r="E140" s="149">
        <f t="shared" si="13"/>
        <v>7.5</v>
      </c>
      <c r="F140" s="149">
        <f t="shared" si="11"/>
        <v>21.5</v>
      </c>
      <c r="G140" s="149">
        <v>4.0648999999999997</v>
      </c>
      <c r="H140" s="149">
        <v>18.534300000000002</v>
      </c>
      <c r="I140" s="150">
        <f t="shared" si="14"/>
        <v>0.3697621482461716</v>
      </c>
    </row>
    <row r="141" spans="1:9">
      <c r="A141" s="151" t="s">
        <v>178</v>
      </c>
      <c r="B141" s="151">
        <v>50</v>
      </c>
      <c r="C141" s="151" t="s">
        <v>98</v>
      </c>
      <c r="D141" s="151">
        <f>CONVERT(8.5,"ft","cm")</f>
        <v>259.08000000000004</v>
      </c>
      <c r="E141" s="151">
        <f t="shared" si="13"/>
        <v>8.5000000000000018</v>
      </c>
      <c r="F141" s="151">
        <f>27</f>
        <v>27</v>
      </c>
      <c r="G141" s="151">
        <v>15.346500000000001</v>
      </c>
      <c r="H141" s="151">
        <v>24.1814</v>
      </c>
      <c r="I141" s="152">
        <f t="shared" si="14"/>
        <v>0.629409011761079</v>
      </c>
    </row>
    <row r="142" spans="1:9">
      <c r="A142" s="151" t="s">
        <v>179</v>
      </c>
      <c r="B142" s="151">
        <v>50</v>
      </c>
      <c r="C142" s="151" t="s">
        <v>98</v>
      </c>
      <c r="D142" s="151">
        <f t="shared" ref="D142:D148" si="16">CONVERT(8.5,"ft","cm")</f>
        <v>259.08000000000004</v>
      </c>
      <c r="E142" s="151">
        <f t="shared" si="13"/>
        <v>8.5000000000000018</v>
      </c>
      <c r="F142" s="151">
        <f t="shared" si="11"/>
        <v>21.5</v>
      </c>
      <c r="G142" s="151">
        <v>15.425000000000001</v>
      </c>
      <c r="H142" s="151">
        <v>20.666499999999999</v>
      </c>
      <c r="I142" s="152">
        <f t="shared" si="14"/>
        <v>0.45973115868974795</v>
      </c>
    </row>
    <row r="143" spans="1:9">
      <c r="A143" s="151" t="s">
        <v>180</v>
      </c>
      <c r="B143" s="151">
        <v>50</v>
      </c>
      <c r="C143" s="151" t="s">
        <v>98</v>
      </c>
      <c r="D143" s="151">
        <f t="shared" si="16"/>
        <v>259.08000000000004</v>
      </c>
      <c r="E143" s="151">
        <f t="shared" si="13"/>
        <v>8.5000000000000018</v>
      </c>
      <c r="F143" s="151">
        <f>27</f>
        <v>27</v>
      </c>
      <c r="G143" s="151">
        <v>11.558400000000001</v>
      </c>
      <c r="H143" s="151">
        <v>24.7118</v>
      </c>
      <c r="I143" s="152">
        <f t="shared" si="14"/>
        <v>0.65732301035574281</v>
      </c>
    </row>
    <row r="144" spans="1:9">
      <c r="A144" s="151" t="s">
        <v>181</v>
      </c>
      <c r="B144" s="151">
        <v>50</v>
      </c>
      <c r="C144" s="151" t="s">
        <v>98</v>
      </c>
      <c r="D144" s="151">
        <f t="shared" si="16"/>
        <v>259.08000000000004</v>
      </c>
      <c r="E144" s="151">
        <f t="shared" si="13"/>
        <v>8.5000000000000018</v>
      </c>
      <c r="F144" s="151">
        <f t="shared" si="11"/>
        <v>21.5</v>
      </c>
      <c r="G144" s="151">
        <v>11.703900000000001</v>
      </c>
      <c r="H144" s="151">
        <v>17.9543</v>
      </c>
      <c r="I144" s="152">
        <f t="shared" si="14"/>
        <v>0.34698206699156464</v>
      </c>
    </row>
    <row r="145" spans="1:9">
      <c r="A145" s="151" t="s">
        <v>182</v>
      </c>
      <c r="B145" s="151">
        <v>50</v>
      </c>
      <c r="C145" s="151" t="s">
        <v>98</v>
      </c>
      <c r="D145" s="151">
        <f t="shared" si="16"/>
        <v>259.08000000000004</v>
      </c>
      <c r="E145" s="151">
        <f t="shared" si="13"/>
        <v>8.5000000000000018</v>
      </c>
      <c r="F145" s="151">
        <f>27</f>
        <v>27</v>
      </c>
      <c r="G145" s="151">
        <v>7.8040000000000003</v>
      </c>
      <c r="H145" s="151">
        <v>23.732399999999998</v>
      </c>
      <c r="I145" s="152">
        <f t="shared" si="14"/>
        <v>0.60625229245458467</v>
      </c>
    </row>
    <row r="146" spans="1:9">
      <c r="A146" s="151" t="s">
        <v>183</v>
      </c>
      <c r="B146" s="151">
        <v>50</v>
      </c>
      <c r="C146" s="151" t="s">
        <v>98</v>
      </c>
      <c r="D146" s="151">
        <f t="shared" si="16"/>
        <v>259.08000000000004</v>
      </c>
      <c r="E146" s="151">
        <f t="shared" si="13"/>
        <v>8.5000000000000018</v>
      </c>
      <c r="F146" s="151">
        <f t="shared" si="11"/>
        <v>21.5</v>
      </c>
      <c r="G146" s="151">
        <v>7.8856999999999999</v>
      </c>
      <c r="H146" s="151">
        <v>17.650500000000001</v>
      </c>
      <c r="I146" s="152">
        <f t="shared" si="14"/>
        <v>0.33533902684992867</v>
      </c>
    </row>
    <row r="147" spans="1:9">
      <c r="A147" s="151" t="s">
        <v>184</v>
      </c>
      <c r="B147" s="151">
        <v>50</v>
      </c>
      <c r="C147" s="151" t="s">
        <v>98</v>
      </c>
      <c r="D147" s="151">
        <f t="shared" si="16"/>
        <v>259.08000000000004</v>
      </c>
      <c r="E147" s="151">
        <f t="shared" si="13"/>
        <v>8.5000000000000018</v>
      </c>
      <c r="F147" s="151">
        <f>27</f>
        <v>27</v>
      </c>
      <c r="G147" s="151">
        <v>4.0193000000000003</v>
      </c>
      <c r="H147" s="151">
        <v>23.96</v>
      </c>
      <c r="I147" s="152">
        <f t="shared" si="14"/>
        <v>0.61793629142813844</v>
      </c>
    </row>
    <row r="148" spans="1:9">
      <c r="A148" s="151" t="s">
        <v>185</v>
      </c>
      <c r="B148" s="151">
        <v>50</v>
      </c>
      <c r="C148" s="151" t="s">
        <v>98</v>
      </c>
      <c r="D148" s="151">
        <f t="shared" si="16"/>
        <v>259.08000000000004</v>
      </c>
      <c r="E148" s="151">
        <f t="shared" si="13"/>
        <v>8.5000000000000018</v>
      </c>
      <c r="F148" s="151">
        <v>21.5</v>
      </c>
      <c r="G148" s="151">
        <v>4.1562000000000001</v>
      </c>
      <c r="H148" s="151">
        <v>18.869599999999998</v>
      </c>
      <c r="I148" s="152">
        <f t="shared" si="14"/>
        <v>0.38326173627902799</v>
      </c>
    </row>
    <row r="149" spans="1:9">
      <c r="A149" s="4" t="s">
        <v>186</v>
      </c>
      <c r="B149" s="4">
        <v>50</v>
      </c>
      <c r="C149" s="4" t="s">
        <v>98</v>
      </c>
      <c r="D149" s="4">
        <f>CONVERT(5,"ft","cm")</f>
        <v>152.4</v>
      </c>
      <c r="E149" s="4">
        <f t="shared" si="13"/>
        <v>5</v>
      </c>
      <c r="F149" s="4">
        <f t="shared" ref="F149:F179" si="17">17.5</f>
        <v>17.5</v>
      </c>
      <c r="G149" s="4">
        <v>15.6945</v>
      </c>
      <c r="H149" s="4">
        <v>17.360399999999998</v>
      </c>
      <c r="I149" s="30">
        <f t="shared" si="14"/>
        <v>0.32440648676297357</v>
      </c>
    </row>
    <row r="150" spans="1:9">
      <c r="A150" s="4" t="s">
        <v>187</v>
      </c>
      <c r="B150" s="4">
        <v>50</v>
      </c>
      <c r="C150" s="4" t="s">
        <v>98</v>
      </c>
      <c r="D150" s="4">
        <f t="shared" ref="D150:D156" si="18">CONVERT(5,"ft","cm")</f>
        <v>152.4</v>
      </c>
      <c r="E150" s="4">
        <f t="shared" si="13"/>
        <v>5</v>
      </c>
      <c r="F150" s="4">
        <f t="shared" ref="F150:F180" si="19">12.5</f>
        <v>12.5</v>
      </c>
      <c r="G150" s="4">
        <v>15.6256</v>
      </c>
      <c r="H150" s="4">
        <v>16.5564</v>
      </c>
      <c r="I150" s="30">
        <f t="shared" si="14"/>
        <v>0.29505426405852808</v>
      </c>
    </row>
    <row r="151" spans="1:9">
      <c r="A151" s="4" t="s">
        <v>188</v>
      </c>
      <c r="B151" s="4">
        <v>50</v>
      </c>
      <c r="C151" s="4" t="s">
        <v>98</v>
      </c>
      <c r="D151" s="4">
        <f t="shared" si="18"/>
        <v>152.4</v>
      </c>
      <c r="E151" s="4">
        <f t="shared" si="13"/>
        <v>5</v>
      </c>
      <c r="F151" s="4">
        <f t="shared" si="17"/>
        <v>17.5</v>
      </c>
      <c r="G151" s="4">
        <v>11.888999999999999</v>
      </c>
      <c r="H151" s="4">
        <v>17.3963</v>
      </c>
      <c r="I151" s="30">
        <f t="shared" si="14"/>
        <v>0.32574957040157126</v>
      </c>
    </row>
    <row r="152" spans="1:9">
      <c r="A152" s="4" t="s">
        <v>189</v>
      </c>
      <c r="B152" s="4">
        <v>50</v>
      </c>
      <c r="C152" s="4" t="s">
        <v>98</v>
      </c>
      <c r="D152" s="4">
        <f t="shared" si="18"/>
        <v>152.4</v>
      </c>
      <c r="E152" s="4">
        <f t="shared" si="13"/>
        <v>5</v>
      </c>
      <c r="F152" s="4">
        <f t="shared" si="19"/>
        <v>12.5</v>
      </c>
      <c r="G152" s="4">
        <v>11.9457</v>
      </c>
      <c r="H152" s="4">
        <v>16.6221</v>
      </c>
      <c r="I152" s="30">
        <f t="shared" si="14"/>
        <v>0.29740061079809665</v>
      </c>
    </row>
    <row r="153" spans="1:9">
      <c r="A153" s="4" t="s">
        <v>190</v>
      </c>
      <c r="B153" s="4">
        <v>50</v>
      </c>
      <c r="C153" s="4" t="s">
        <v>98</v>
      </c>
      <c r="D153" s="4">
        <f t="shared" si="18"/>
        <v>152.4</v>
      </c>
      <c r="E153" s="4">
        <f t="shared" si="13"/>
        <v>5</v>
      </c>
      <c r="F153" s="4">
        <f t="shared" si="17"/>
        <v>17.5</v>
      </c>
      <c r="G153" s="4">
        <v>8.0931999999999995</v>
      </c>
      <c r="H153" s="4">
        <v>16.278099999999998</v>
      </c>
      <c r="I153" s="30">
        <f t="shared" si="14"/>
        <v>0.2852183734891775</v>
      </c>
    </row>
    <row r="154" spans="1:9">
      <c r="A154" s="4" t="s">
        <v>191</v>
      </c>
      <c r="B154" s="4">
        <v>50</v>
      </c>
      <c r="C154" s="4" t="s">
        <v>98</v>
      </c>
      <c r="D154" s="4">
        <f t="shared" si="18"/>
        <v>152.4</v>
      </c>
      <c r="E154" s="4">
        <f t="shared" si="13"/>
        <v>5</v>
      </c>
      <c r="F154" s="4">
        <f t="shared" si="19"/>
        <v>12.5</v>
      </c>
      <c r="G154" s="4">
        <v>8.1209000000000007</v>
      </c>
      <c r="H154" s="4">
        <v>17.716200000000001</v>
      </c>
      <c r="I154" s="30">
        <f t="shared" si="14"/>
        <v>0.33784012066774138</v>
      </c>
    </row>
    <row r="155" spans="1:9">
      <c r="A155" s="4" t="s">
        <v>192</v>
      </c>
      <c r="B155" s="4">
        <v>50</v>
      </c>
      <c r="C155" s="4" t="s">
        <v>98</v>
      </c>
      <c r="D155" s="4">
        <f t="shared" si="18"/>
        <v>152.4</v>
      </c>
      <c r="E155" s="4">
        <f t="shared" si="13"/>
        <v>5</v>
      </c>
      <c r="F155" s="4">
        <f t="shared" si="17"/>
        <v>17.5</v>
      </c>
      <c r="G155" s="4">
        <v>4.2693000000000003</v>
      </c>
      <c r="H155" s="4">
        <v>20.171299999999999</v>
      </c>
      <c r="I155" s="30">
        <f t="shared" si="14"/>
        <v>0.43796343337096394</v>
      </c>
    </row>
    <row r="156" spans="1:9">
      <c r="A156" s="4" t="s">
        <v>193</v>
      </c>
      <c r="B156" s="4">
        <v>50</v>
      </c>
      <c r="C156" s="4" t="s">
        <v>98</v>
      </c>
      <c r="D156" s="4">
        <f t="shared" si="18"/>
        <v>152.4</v>
      </c>
      <c r="E156" s="4">
        <f t="shared" si="13"/>
        <v>5</v>
      </c>
      <c r="F156" s="4">
        <f t="shared" si="19"/>
        <v>12.5</v>
      </c>
      <c r="G156" s="4">
        <v>4.3365999999999998</v>
      </c>
      <c r="H156" s="4">
        <v>18.437899999999999</v>
      </c>
      <c r="I156" s="30">
        <f t="shared" si="14"/>
        <v>0.36592576132061988</v>
      </c>
    </row>
    <row r="157" spans="1:9">
      <c r="A157" s="4" t="s">
        <v>194</v>
      </c>
      <c r="B157" s="4">
        <v>50</v>
      </c>
      <c r="C157" s="4" t="s">
        <v>98</v>
      </c>
      <c r="D157" s="4">
        <f>CONVERT(5,"ft","cm")+CONVERT(10,"in","cm")</f>
        <v>177.8</v>
      </c>
      <c r="E157" s="4">
        <f t="shared" si="13"/>
        <v>5.8333333333333339</v>
      </c>
      <c r="F157" s="4">
        <f t="shared" si="17"/>
        <v>17.5</v>
      </c>
      <c r="G157" s="4">
        <v>15.7134</v>
      </c>
      <c r="H157" s="4">
        <v>5.9882999999999997</v>
      </c>
      <c r="I157" s="30">
        <f t="shared" si="14"/>
        <v>3.8599099545074088E-2</v>
      </c>
    </row>
    <row r="158" spans="1:9">
      <c r="A158" s="4" t="s">
        <v>195</v>
      </c>
      <c r="B158" s="4">
        <v>50</v>
      </c>
      <c r="C158" s="4" t="s">
        <v>98</v>
      </c>
      <c r="D158" s="4">
        <f t="shared" ref="D158:D164" si="20">CONVERT(5,"ft","cm")+CONVERT(10,"in","cm")</f>
        <v>177.8</v>
      </c>
      <c r="E158" s="4">
        <f t="shared" si="13"/>
        <v>5.8333333333333339</v>
      </c>
      <c r="F158" s="4">
        <f t="shared" si="19"/>
        <v>12.5</v>
      </c>
      <c r="G158" s="4">
        <v>15.5426</v>
      </c>
      <c r="H158" s="4">
        <v>19.288</v>
      </c>
      <c r="I158" s="30">
        <f t="shared" si="14"/>
        <v>0.40044646978182852</v>
      </c>
    </row>
    <row r="159" spans="1:9">
      <c r="A159" s="4" t="s">
        <v>196</v>
      </c>
      <c r="B159" s="4">
        <v>50</v>
      </c>
      <c r="C159" s="4" t="s">
        <v>98</v>
      </c>
      <c r="D159" s="4">
        <f t="shared" si="20"/>
        <v>177.8</v>
      </c>
      <c r="E159" s="4">
        <f t="shared" si="13"/>
        <v>5.8333333333333339</v>
      </c>
      <c r="F159" s="4">
        <f t="shared" si="17"/>
        <v>17.5</v>
      </c>
      <c r="G159" s="4">
        <v>11.9099</v>
      </c>
      <c r="H159" s="4">
        <v>10.4254</v>
      </c>
      <c r="I159" s="30">
        <f t="shared" si="14"/>
        <v>0.11699182842671244</v>
      </c>
    </row>
    <row r="160" spans="1:9">
      <c r="A160" s="4" t="s">
        <v>197</v>
      </c>
      <c r="B160" s="4">
        <v>50</v>
      </c>
      <c r="C160" s="4" t="s">
        <v>98</v>
      </c>
      <c r="D160" s="4">
        <f t="shared" si="20"/>
        <v>177.8</v>
      </c>
      <c r="E160" s="4">
        <f t="shared" si="13"/>
        <v>5.8333333333333339</v>
      </c>
      <c r="F160" s="4">
        <f t="shared" si="19"/>
        <v>12.5</v>
      </c>
      <c r="G160" s="4">
        <v>11.7486</v>
      </c>
      <c r="H160" s="4">
        <v>10.137600000000001</v>
      </c>
      <c r="I160" s="30">
        <f t="shared" si="14"/>
        <v>0.11062171244342493</v>
      </c>
    </row>
    <row r="161" spans="1:9">
      <c r="A161" s="4" t="s">
        <v>198</v>
      </c>
      <c r="B161" s="4">
        <v>50</v>
      </c>
      <c r="C161" s="4" t="s">
        <v>98</v>
      </c>
      <c r="D161" s="4">
        <f t="shared" si="20"/>
        <v>177.8</v>
      </c>
      <c r="E161" s="4">
        <f t="shared" si="13"/>
        <v>5.8333333333333339</v>
      </c>
      <c r="F161" s="4">
        <f t="shared" si="17"/>
        <v>17.5</v>
      </c>
      <c r="G161" s="4">
        <v>7.9020999999999999</v>
      </c>
      <c r="H161" s="4">
        <v>17.0366</v>
      </c>
      <c r="I161" s="30">
        <f t="shared" si="14"/>
        <v>0.31241791394555024</v>
      </c>
    </row>
    <row r="162" spans="1:9">
      <c r="A162" s="4" t="s">
        <v>199</v>
      </c>
      <c r="B162" s="4">
        <v>50</v>
      </c>
      <c r="C162" s="4" t="s">
        <v>98</v>
      </c>
      <c r="D162" s="4">
        <f t="shared" si="20"/>
        <v>177.8</v>
      </c>
      <c r="E162" s="4">
        <f t="shared" si="13"/>
        <v>5.8333333333333339</v>
      </c>
      <c r="F162" s="4">
        <f t="shared" si="19"/>
        <v>12.5</v>
      </c>
      <c r="G162" s="4">
        <v>7.9675000000000002</v>
      </c>
      <c r="H162" s="4">
        <v>12.547599999999999</v>
      </c>
      <c r="I162" s="30">
        <f t="shared" si="14"/>
        <v>0.16946944444444442</v>
      </c>
    </row>
    <row r="163" spans="1:9">
      <c r="A163" s="4" t="s">
        <v>200</v>
      </c>
      <c r="B163" s="4">
        <v>50</v>
      </c>
      <c r="C163" s="4" t="s">
        <v>98</v>
      </c>
      <c r="D163" s="4">
        <f t="shared" si="20"/>
        <v>177.8</v>
      </c>
      <c r="E163" s="4">
        <f t="shared" si="13"/>
        <v>5.8333333333333339</v>
      </c>
      <c r="F163" s="4">
        <f t="shared" si="17"/>
        <v>17.5</v>
      </c>
      <c r="G163" s="4">
        <v>4.2538</v>
      </c>
      <c r="H163" s="4">
        <v>18.549299999999999</v>
      </c>
      <c r="I163" s="30">
        <f t="shared" si="14"/>
        <v>0.3703608950686651</v>
      </c>
    </row>
    <row r="164" spans="1:9">
      <c r="A164" s="4" t="s">
        <v>201</v>
      </c>
      <c r="B164" s="4">
        <v>50</v>
      </c>
      <c r="C164" s="4" t="s">
        <v>98</v>
      </c>
      <c r="D164" s="4">
        <f t="shared" si="20"/>
        <v>177.8</v>
      </c>
      <c r="E164" s="4">
        <f t="shared" si="13"/>
        <v>5.8333333333333339</v>
      </c>
      <c r="F164" s="4">
        <f t="shared" si="19"/>
        <v>12.5</v>
      </c>
      <c r="G164" s="4">
        <v>4.2046000000000001</v>
      </c>
      <c r="H164" s="4">
        <v>19.872900000000001</v>
      </c>
      <c r="I164" s="30">
        <f t="shared" si="14"/>
        <v>0.42510143307474108</v>
      </c>
    </row>
    <row r="165" spans="1:9">
      <c r="A165" s="149" t="s">
        <v>202</v>
      </c>
      <c r="B165" s="149">
        <v>50</v>
      </c>
      <c r="C165" s="149" t="s">
        <v>98</v>
      </c>
      <c r="D165" s="149">
        <f>CONVERT(7.5,"ft","cm")</f>
        <v>228.6</v>
      </c>
      <c r="E165" s="149">
        <f t="shared" si="13"/>
        <v>7.5</v>
      </c>
      <c r="F165" s="149">
        <f t="shared" si="17"/>
        <v>17.5</v>
      </c>
      <c r="G165" s="149">
        <v>15.359299999999999</v>
      </c>
      <c r="H165" s="149">
        <v>14.0875</v>
      </c>
      <c r="I165" s="150">
        <f t="shared" si="14"/>
        <v>0.21361804333851722</v>
      </c>
    </row>
    <row r="166" spans="1:9">
      <c r="A166" s="149" t="s">
        <v>203</v>
      </c>
      <c r="B166" s="149">
        <v>50</v>
      </c>
      <c r="C166" s="149" t="s">
        <v>98</v>
      </c>
      <c r="D166" s="149">
        <f t="shared" ref="D166:D172" si="21">CONVERT(7.5,"ft","cm")</f>
        <v>228.6</v>
      </c>
      <c r="E166" s="149">
        <f t="shared" si="13"/>
        <v>7.5</v>
      </c>
      <c r="F166" s="149">
        <f t="shared" si="19"/>
        <v>12.5</v>
      </c>
      <c r="G166" s="149">
        <v>15.3728</v>
      </c>
      <c r="H166" s="149">
        <v>11.303599999999999</v>
      </c>
      <c r="I166" s="150">
        <f t="shared" si="14"/>
        <v>0.13753196123614472</v>
      </c>
    </row>
    <row r="167" spans="1:9">
      <c r="A167" s="149" t="s">
        <v>204</v>
      </c>
      <c r="B167" s="149">
        <v>50</v>
      </c>
      <c r="C167" s="149" t="s">
        <v>98</v>
      </c>
      <c r="D167" s="149">
        <f t="shared" si="21"/>
        <v>228.6</v>
      </c>
      <c r="E167" s="149">
        <f t="shared" si="13"/>
        <v>7.5</v>
      </c>
      <c r="F167" s="149">
        <f t="shared" si="17"/>
        <v>17.5</v>
      </c>
      <c r="G167" s="149">
        <v>11.5465</v>
      </c>
      <c r="H167" s="149">
        <v>14.506500000000001</v>
      </c>
      <c r="I167" s="150">
        <f t="shared" si="14"/>
        <v>0.22651416170019842</v>
      </c>
    </row>
    <row r="168" spans="1:9">
      <c r="A168" s="149" t="s">
        <v>205</v>
      </c>
      <c r="B168" s="149">
        <v>50</v>
      </c>
      <c r="C168" s="149" t="s">
        <v>98</v>
      </c>
      <c r="D168" s="149">
        <f t="shared" si="21"/>
        <v>228.6</v>
      </c>
      <c r="E168" s="149">
        <f t="shared" si="13"/>
        <v>7.5</v>
      </c>
      <c r="F168" s="149">
        <f t="shared" si="19"/>
        <v>12.5</v>
      </c>
      <c r="G168" s="149">
        <v>11.5791</v>
      </c>
      <c r="H168" s="149">
        <v>11.4025</v>
      </c>
      <c r="I168" s="150">
        <f t="shared" si="14"/>
        <v>0.1399491407923788</v>
      </c>
    </row>
    <row r="169" spans="1:9">
      <c r="A169" s="149" t="s">
        <v>206</v>
      </c>
      <c r="B169" s="149">
        <v>50</v>
      </c>
      <c r="C169" s="149" t="s">
        <v>98</v>
      </c>
      <c r="D169" s="149">
        <f t="shared" si="21"/>
        <v>228.6</v>
      </c>
      <c r="E169" s="149">
        <f t="shared" si="13"/>
        <v>7.5</v>
      </c>
      <c r="F169" s="149">
        <f t="shared" si="17"/>
        <v>17.5</v>
      </c>
      <c r="G169" s="149">
        <v>7.7489999999999997</v>
      </c>
      <c r="H169" s="149">
        <v>14.754099999999999</v>
      </c>
      <c r="I169" s="150">
        <f t="shared" si="14"/>
        <v>0.23431253359416443</v>
      </c>
    </row>
    <row r="170" spans="1:9">
      <c r="A170" s="149" t="s">
        <v>207</v>
      </c>
      <c r="B170" s="149">
        <v>50</v>
      </c>
      <c r="C170" s="149" t="s">
        <v>98</v>
      </c>
      <c r="D170" s="149">
        <f t="shared" si="21"/>
        <v>228.6</v>
      </c>
      <c r="E170" s="149">
        <f t="shared" si="13"/>
        <v>7.5</v>
      </c>
      <c r="F170" s="149">
        <f t="shared" si="19"/>
        <v>12.5</v>
      </c>
      <c r="G170" s="149">
        <v>7.8658999999999999</v>
      </c>
      <c r="H170" s="149">
        <v>15.3912</v>
      </c>
      <c r="I170" s="150">
        <f t="shared" si="14"/>
        <v>0.2549852377704756</v>
      </c>
    </row>
    <row r="171" spans="1:9">
      <c r="A171" s="149" t="s">
        <v>208</v>
      </c>
      <c r="B171" s="149">
        <v>50</v>
      </c>
      <c r="C171" s="149" t="s">
        <v>98</v>
      </c>
      <c r="D171" s="149">
        <f t="shared" si="21"/>
        <v>228.6</v>
      </c>
      <c r="E171" s="149">
        <f t="shared" si="13"/>
        <v>7.5</v>
      </c>
      <c r="F171" s="149">
        <f t="shared" si="17"/>
        <v>17.5</v>
      </c>
      <c r="G171" s="149">
        <v>4.0998000000000001</v>
      </c>
      <c r="H171" s="149">
        <v>19.471599999999999</v>
      </c>
      <c r="I171" s="150">
        <f t="shared" si="14"/>
        <v>0.40810635105159104</v>
      </c>
    </row>
    <row r="172" spans="1:9">
      <c r="A172" s="149" t="s">
        <v>209</v>
      </c>
      <c r="B172" s="149">
        <v>50</v>
      </c>
      <c r="C172" s="149" t="s">
        <v>98</v>
      </c>
      <c r="D172" s="149">
        <f t="shared" si="21"/>
        <v>228.6</v>
      </c>
      <c r="E172" s="149">
        <f t="shared" si="13"/>
        <v>7.5</v>
      </c>
      <c r="F172" s="149">
        <f t="shared" si="19"/>
        <v>12.5</v>
      </c>
      <c r="G172" s="149">
        <v>4.1261999999999999</v>
      </c>
      <c r="H172" s="149">
        <v>22.192499999999999</v>
      </c>
      <c r="I172" s="150">
        <f t="shared" si="14"/>
        <v>0.5301301833072416</v>
      </c>
    </row>
    <row r="173" spans="1:9">
      <c r="A173" s="151" t="s">
        <v>210</v>
      </c>
      <c r="B173" s="151">
        <v>50</v>
      </c>
      <c r="C173" s="151" t="s">
        <v>98</v>
      </c>
      <c r="D173" s="151">
        <f>CONVERT(8.5,"ft","cm")</f>
        <v>259.08000000000004</v>
      </c>
      <c r="E173" s="151">
        <f t="shared" si="13"/>
        <v>8.5000000000000018</v>
      </c>
      <c r="F173" s="151">
        <f t="shared" si="17"/>
        <v>17.5</v>
      </c>
      <c r="G173" s="151">
        <v>15.4788</v>
      </c>
      <c r="H173" s="151">
        <v>16.367000000000001</v>
      </c>
      <c r="I173" s="152">
        <f t="shared" si="14"/>
        <v>0.28834222109416435</v>
      </c>
    </row>
    <row r="174" spans="1:9">
      <c r="A174" s="151" t="s">
        <v>211</v>
      </c>
      <c r="B174" s="151">
        <v>50</v>
      </c>
      <c r="C174" s="151" t="s">
        <v>98</v>
      </c>
      <c r="D174" s="151">
        <f t="shared" ref="D174:D180" si="22">CONVERT(8.5,"ft","cm")</f>
        <v>259.08000000000004</v>
      </c>
      <c r="E174" s="151">
        <f t="shared" si="13"/>
        <v>8.5000000000000018</v>
      </c>
      <c r="F174" s="151">
        <f t="shared" si="19"/>
        <v>12.5</v>
      </c>
      <c r="G174" s="151">
        <v>15.4377</v>
      </c>
      <c r="H174" s="151">
        <v>12.162000000000001</v>
      </c>
      <c r="I174" s="152">
        <f t="shared" si="14"/>
        <v>0.15921356717713442</v>
      </c>
    </row>
    <row r="175" spans="1:9">
      <c r="A175" s="151" t="s">
        <v>212</v>
      </c>
      <c r="B175" s="151">
        <v>50</v>
      </c>
      <c r="C175" s="151" t="s">
        <v>98</v>
      </c>
      <c r="D175" s="151">
        <f t="shared" si="22"/>
        <v>259.08000000000004</v>
      </c>
      <c r="E175" s="151">
        <f t="shared" si="13"/>
        <v>8.5000000000000018</v>
      </c>
      <c r="F175" s="151">
        <f t="shared" si="17"/>
        <v>17.5</v>
      </c>
      <c r="G175" s="151">
        <v>11.6615</v>
      </c>
      <c r="H175" s="151">
        <v>14.1214</v>
      </c>
      <c r="I175" s="152">
        <f t="shared" si="14"/>
        <v>0.21464737640447507</v>
      </c>
    </row>
    <row r="176" spans="1:9">
      <c r="A176" s="151" t="s">
        <v>213</v>
      </c>
      <c r="B176" s="151">
        <v>50</v>
      </c>
      <c r="C176" s="151" t="s">
        <v>98</v>
      </c>
      <c r="D176" s="151">
        <f t="shared" si="22"/>
        <v>259.08000000000004</v>
      </c>
      <c r="E176" s="151">
        <f t="shared" si="13"/>
        <v>8.5000000000000018</v>
      </c>
      <c r="F176" s="151">
        <f t="shared" si="19"/>
        <v>12.5</v>
      </c>
      <c r="G176" s="151">
        <v>11.725300000000001</v>
      </c>
      <c r="H176" s="151">
        <v>12.286</v>
      </c>
      <c r="I176" s="152">
        <f t="shared" si="14"/>
        <v>0.1624767025922941</v>
      </c>
    </row>
    <row r="177" spans="1:9">
      <c r="A177" s="151" t="s">
        <v>214</v>
      </c>
      <c r="B177" s="151">
        <v>50</v>
      </c>
      <c r="C177" s="151" t="s">
        <v>98</v>
      </c>
      <c r="D177" s="151">
        <f t="shared" si="22"/>
        <v>259.08000000000004</v>
      </c>
      <c r="E177" s="151">
        <f t="shared" si="13"/>
        <v>8.5000000000000018</v>
      </c>
      <c r="F177" s="151">
        <f t="shared" si="17"/>
        <v>17.5</v>
      </c>
      <c r="G177" s="151">
        <v>7.8571</v>
      </c>
      <c r="H177" s="151">
        <v>16.5838</v>
      </c>
      <c r="I177" s="152">
        <f t="shared" si="14"/>
        <v>0.29603167177306577</v>
      </c>
    </row>
    <row r="178" spans="1:9">
      <c r="A178" s="151" t="s">
        <v>215</v>
      </c>
      <c r="B178" s="151">
        <v>50</v>
      </c>
      <c r="C178" s="151" t="s">
        <v>98</v>
      </c>
      <c r="D178" s="151">
        <f t="shared" si="22"/>
        <v>259.08000000000004</v>
      </c>
      <c r="E178" s="151">
        <f t="shared" si="13"/>
        <v>8.5000000000000018</v>
      </c>
      <c r="F178" s="151">
        <f t="shared" si="19"/>
        <v>12.5</v>
      </c>
      <c r="G178" s="151">
        <v>7.9070999999999998</v>
      </c>
      <c r="H178" s="151">
        <v>17.4815</v>
      </c>
      <c r="I178" s="152">
        <f t="shared" si="14"/>
        <v>0.32894816170708735</v>
      </c>
    </row>
    <row r="179" spans="1:9">
      <c r="A179" s="151" t="s">
        <v>216</v>
      </c>
      <c r="B179" s="151">
        <v>50</v>
      </c>
      <c r="C179" s="151" t="s">
        <v>98</v>
      </c>
      <c r="D179" s="151">
        <f t="shared" si="22"/>
        <v>259.08000000000004</v>
      </c>
      <c r="E179" s="151">
        <f t="shared" si="13"/>
        <v>8.5000000000000018</v>
      </c>
      <c r="F179" s="151">
        <f t="shared" si="17"/>
        <v>17.5</v>
      </c>
      <c r="G179" s="151">
        <v>4.0965999999999996</v>
      </c>
      <c r="H179" s="151">
        <v>21.089099999999998</v>
      </c>
      <c r="I179" s="152">
        <f t="shared" si="14"/>
        <v>0.47872506519700514</v>
      </c>
    </row>
    <row r="180" spans="1:9">
      <c r="A180" s="151" t="s">
        <v>217</v>
      </c>
      <c r="B180" s="151">
        <v>50</v>
      </c>
      <c r="C180" s="151" t="s">
        <v>98</v>
      </c>
      <c r="D180" s="151">
        <f t="shared" si="22"/>
        <v>259.08000000000004</v>
      </c>
      <c r="E180" s="151">
        <f t="shared" si="13"/>
        <v>8.5000000000000018</v>
      </c>
      <c r="F180" s="151">
        <f t="shared" si="19"/>
        <v>12.5</v>
      </c>
      <c r="G180" s="151">
        <v>4.1909000000000001</v>
      </c>
      <c r="H180" s="151">
        <v>23.497</v>
      </c>
      <c r="I180" s="152">
        <f t="shared" si="14"/>
        <v>0.59428519131343815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RCG Measurements</vt:lpstr>
      <vt:lpstr>RCG Material Props.</vt:lpstr>
      <vt:lpstr>Material Prop. Compare</vt:lpstr>
      <vt:lpstr>FBD &amp; EQNs</vt:lpstr>
      <vt:lpstr>Empty (No Veg. Patch)</vt:lpstr>
      <vt:lpstr>6x6 Patch</vt:lpstr>
      <vt:lpstr>9x6 Patch</vt:lpstr>
      <vt:lpstr>12x6 Patch</vt:lpstr>
      <vt:lpstr>6x6 HACH vs. ADV</vt:lpstr>
      <vt:lpstr>RESULTS</vt:lpstr>
      <vt:lpstr>FULLY DEVELOP</vt:lpstr>
      <vt:lpstr>Q's Flume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Draeger</dc:creator>
  <cp:lastModifiedBy>Brian Draeger</cp:lastModifiedBy>
  <dcterms:created xsi:type="dcterms:W3CDTF">2015-07-28T22:32:34Z</dcterms:created>
  <dcterms:modified xsi:type="dcterms:W3CDTF">2015-08-20T18:24:46Z</dcterms:modified>
</cp:coreProperties>
</file>