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87"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88"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67"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<sst xmlns="http://schemas.openxmlformats.org/spreadsheetml/2006/main" count="295" uniqueCount="179">
  <si>
    <t>ECONOMIC COSTS and RETURNS</t>
  </si>
  <si>
    <t>Total GROSS Income</t>
  </si>
  <si>
    <t>Materials</t>
  </si>
  <si>
    <t>quantity</t>
  </si>
  <si>
    <t>Machinery</t>
  </si>
  <si>
    <t>Labor</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</si>
  <si>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</si>
  <si>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</si>
  <si>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</si>
  <si>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</si>
  <si>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</si>
  <si>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</si>
  <si>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</si>
  <si>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</si>
  <si>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</si>
  <si>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</si>
  <si>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</si>
  <si>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</si>
  <si>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</si>
  <si>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</si>
  <si>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</si>
  <si>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</si>
  <si>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</si>
  <si>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</si>
  <si>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</si>
  <si>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</si>
  <si>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</si>
  <si>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</si>
  <si>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</si>
  <si>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</si>
  <si>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</si>
  <si>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</si>
  <si>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</si>
  <si>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</si>
  <si>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</si>
  <si>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</si>
  <si>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</si>
  <si>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</si>
  <si>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</si>
  <si>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</si>
  <si>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</si>
  <si>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</si>
  <si>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</si>
  <si>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</si>
  <si>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</si>
  <si>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</si>
  <si>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</si>
  <si>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</si>
  <si>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</si>
  <si>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</si>
  <si>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</si>
  <si>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</si>
  <si>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</si>
  <si>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</si>
  <si>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</si>
  <si>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</si>
  <si>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</si>
  <si>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</si>
  <si>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</si>
  <si>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</si>
  <si>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</si>
  <si>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</si>
  <si>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</si>
  <si>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</si>
  <si>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</si>
  <si>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</si>
  <si>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</si>
  <si>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</si>
  <si>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</si>
  <si>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</si>
  <si>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</si>
  <si>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</si>
  <si>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</si>
  <si>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</si>
  <si>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</si>
  <si>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</si>
  <si>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</si>
  <si>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</si>
  <si>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</si>
  <si>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</si>
  <si>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</si>
  <si>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</si>
  <si>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</si>
  <si>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</si>
  <si>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</si>
  <si>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</si>
  <si>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</si>
  <si>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</si>
  <si>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</si>
  <si>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</si>
  <si>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</si>
  <si>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</si>
  <si>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</si>
  <si>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</si>
  <si>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</si>
  <si>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</si>
  <si>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</si>
  <si>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</si>
  <si>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</si>
  <si>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</si>
  <si>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</si>
  <si>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</si>
  <si>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</si>
  <si>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</si>
  <si>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</si>
  <si>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</si>
  <si>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</si>
  <si>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</si>
  <si>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</si>
  <si>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</si>
  <si>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</si>
  <si>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</si>
  <si>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</si>
  <si>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</si>
  <si>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</si>
  <si>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</si>
  <si>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</si>
  <si>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</si>
  <si>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</si>
  <si>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</si>
  <si>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</si>
  <si>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</si>
  <si>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</si>
  <si>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</si>
  <si>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</si>
  <si>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</si>
  <si>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</si>
  <si>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</si>
  <si>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</si>
  <si>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</si>
  <si>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</si>
  <si>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(other)</t>
  </si>
  <si>
    <t>CASH Cost</t>
  </si>
  <si>
    <t>Machinery &amp; Equipment Insurance</t>
  </si>
  <si>
    <t>Total CASH</t>
  </si>
  <si>
    <t>NONCASH Cost</t>
  </si>
  <si>
    <t>Total NONCASH</t>
  </si>
  <si>
    <t>TOTALS</t>
  </si>
  <si>
    <t>material</t>
  </si>
  <si>
    <t>Vehicle Name</t>
  </si>
  <si>
    <t xml:space="preserve">Repair Factors   </t>
  </si>
  <si>
    <t>Custom Application</t>
  </si>
  <si>
    <t>Oregon Mint Commission Assessment Charge</t>
  </si>
  <si>
    <t>FIRST YEAR PRODUCTION</t>
  </si>
  <si>
    <t>General Overhead</t>
  </si>
  <si>
    <t>Land Rent</t>
  </si>
  <si>
    <t>Machinery &amp; Equipment Deprec. &amp; Interest</t>
  </si>
  <si>
    <t>LAND PREPARATION and PLANTING</t>
  </si>
  <si>
    <t>Total LAND PREPARATION and PLANTING</t>
  </si>
  <si>
    <t>Irrigate (6" x 1)</t>
  </si>
  <si>
    <t>Burn Wheat Stubble</t>
  </si>
  <si>
    <t>Rip/Chisel</t>
  </si>
  <si>
    <t>Land Plane</t>
  </si>
  <si>
    <t>Fertilize</t>
  </si>
  <si>
    <t>Rip/Harrow</t>
  </si>
  <si>
    <t>Plant Roots</t>
  </si>
  <si>
    <t>Roll</t>
  </si>
  <si>
    <t>Weed Control</t>
  </si>
  <si>
    <t>Harrow</t>
  </si>
  <si>
    <t>Corrugate</t>
  </si>
  <si>
    <t>Irrigate (3" x 11 sets)</t>
  </si>
  <si>
    <t>Mite Control (2x)</t>
  </si>
  <si>
    <t>Hoeing</t>
  </si>
  <si>
    <t>Harvest</t>
  </si>
  <si>
    <t>Custom Harvest</t>
  </si>
  <si>
    <t>Water</t>
  </si>
  <si>
    <t>Burn Permit</t>
  </si>
  <si>
    <t>16-16-16</t>
  </si>
  <si>
    <t>Certified Roots</t>
  </si>
  <si>
    <t>Pre-Emerge Herbicide</t>
  </si>
  <si>
    <t>Sticker</t>
  </si>
  <si>
    <t>40-0-0-6</t>
  </si>
  <si>
    <t>Insecticide</t>
  </si>
  <si>
    <t>Siphon Tube Deprec. &amp; Interest</t>
  </si>
  <si>
    <t>Peppermint Oil</t>
  </si>
  <si>
    <t>South Central Region</t>
  </si>
  <si>
    <t>Peppermint Establishment, 25 acres ($/acre)</t>
  </si>
  <si>
    <t>lb.</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</si>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</sst>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
      <patternFill patternType="solid">
        <fgColor indexed="56"/>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2" fontId="10" fillId="7" borderId="5"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11" borderId="0" xfId="0" applyFont="1" applyFill="1" applyBorder="1" applyAlignment="1" applyProtection="1">
      <alignment horizontal="right"/>
      <protection hidden="1"/>
    </xf>
    <xf numFmtId="0" fontId="7" fillId="11" borderId="0" xfId="0" applyFont="1" applyFill="1" applyAlignment="1" applyProtection="1">
      <alignment horizontal="right"/>
      <protection hidden="1"/>
    </xf>
    <xf numFmtId="2" fontId="1" fillId="2" borderId="13" xfId="19" applyNumberFormat="1" applyFont="1" applyFill="1" applyBorder="1" applyProtection="1">
      <alignment/>
      <protection locked="0"/>
    </xf>
    <xf numFmtId="2" fontId="1" fillId="6" borderId="0" xfId="0" applyNumberFormat="1" applyFont="1" applyFill="1" applyBorder="1" applyAlignment="1" applyProtection="1">
      <alignment/>
      <protection hidden="1"/>
    </xf>
    <xf numFmtId="2" fontId="10" fillId="7" borderId="5" xfId="0" applyNumberFormat="1" applyFont="1" applyFill="1" applyBorder="1" applyAlignment="1" applyProtection="1">
      <alignment/>
      <protection hidden="1"/>
    </xf>
    <xf numFmtId="0" fontId="1" fillId="2" borderId="0" xfId="0" applyFont="1" applyFill="1" applyAlignment="1" applyProtection="1">
      <alignment horizontal="left" indent="2"/>
      <protection hidden="1" locked="0"/>
    </xf>
    <xf numFmtId="2" fontId="1" fillId="2" borderId="0" xfId="0" applyNumberFormat="1" applyFont="1" applyFill="1" applyAlignment="1" applyProtection="1">
      <alignment/>
      <protection hidden="1" locked="0"/>
    </xf>
    <xf numFmtId="2" fontId="1" fillId="2" borderId="0" xfId="0" applyNumberFormat="1" applyFont="1" applyFill="1" applyBorder="1" applyAlignment="1" applyProtection="1">
      <alignment/>
      <protection/>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88"/>
  <sheetViews>
    <sheetView showGridLines="0" tabSelected="1" workbookViewId="0" topLeftCell="A1">
      <pane ySplit="13" topLeftCell="BM5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175</v>
      </c>
      <c r="C2" s="48"/>
      <c r="D2" s="48"/>
      <c r="E2" s="48"/>
      <c r="F2" s="48"/>
      <c r="G2" s="49"/>
      <c r="H2" s="49"/>
    </row>
    <row r="3" spans="2:8" ht="12.75">
      <c r="B3" s="50" t="s">
        <v>176</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104</v>
      </c>
      <c r="C6" s="55"/>
      <c r="D6" s="56"/>
      <c r="E6" s="56"/>
      <c r="F6" s="56"/>
      <c r="G6" s="56"/>
      <c r="H6" s="56"/>
    </row>
    <row r="7" spans="2:8" ht="12.75">
      <c r="B7" s="57"/>
      <c r="C7" s="57"/>
      <c r="D7" s="58"/>
      <c r="E7" s="59" t="s">
        <v>112</v>
      </c>
      <c r="F7" s="59" t="s">
        <v>105</v>
      </c>
      <c r="G7" s="59" t="s">
        <v>106</v>
      </c>
      <c r="H7" s="59" t="s">
        <v>65</v>
      </c>
    </row>
    <row r="8" spans="2:8" ht="12.75">
      <c r="B8" s="115" t="s">
        <v>174</v>
      </c>
      <c r="C8" s="60"/>
      <c r="D8" s="60"/>
      <c r="E8" s="116">
        <v>60</v>
      </c>
      <c r="F8" s="117" t="s">
        <v>177</v>
      </c>
      <c r="G8" s="186">
        <v>16</v>
      </c>
      <c r="H8" s="61">
        <f>E8*G8</f>
        <v>960</v>
      </c>
    </row>
    <row r="9" spans="2:8" ht="12.75">
      <c r="B9" s="62" t="s">
        <v>1</v>
      </c>
      <c r="C9" s="63"/>
      <c r="D9" s="63"/>
      <c r="E9" s="63"/>
      <c r="F9" s="63"/>
      <c r="G9" s="147"/>
      <c r="H9" s="64">
        <f>SUM(H8:H8)</f>
        <v>960</v>
      </c>
    </row>
    <row r="10" spans="2:8" ht="12.75">
      <c r="B10" s="4"/>
      <c r="C10" s="4"/>
      <c r="D10" s="4"/>
      <c r="E10" s="4"/>
      <c r="F10" s="4"/>
      <c r="G10" s="4"/>
      <c r="H10" s="4"/>
    </row>
    <row r="11" spans="2:8" ht="12.75">
      <c r="B11" s="54" t="s">
        <v>59</v>
      </c>
      <c r="C11" s="55"/>
      <c r="D11" s="56"/>
      <c r="E11" s="56"/>
      <c r="F11" s="56"/>
      <c r="G11" s="56"/>
      <c r="H11" s="56"/>
    </row>
    <row r="12" spans="2:8" ht="12.75">
      <c r="B12" s="36"/>
      <c r="C12" s="192" t="s">
        <v>107</v>
      </c>
      <c r="D12" s="192"/>
      <c r="E12" s="36" t="s">
        <v>5</v>
      </c>
      <c r="F12" s="36" t="s">
        <v>4</v>
      </c>
      <c r="G12" s="36" t="s">
        <v>2</v>
      </c>
      <c r="H12" s="35" t="s">
        <v>124</v>
      </c>
    </row>
    <row r="13" spans="1:8" ht="12.75">
      <c r="A13" s="39" t="s">
        <v>117</v>
      </c>
      <c r="B13" s="37"/>
      <c r="C13" s="38" t="s">
        <v>3</v>
      </c>
      <c r="D13" s="38" t="s">
        <v>122</v>
      </c>
      <c r="E13" s="15" t="s">
        <v>123</v>
      </c>
      <c r="F13" s="15" t="s">
        <v>123</v>
      </c>
      <c r="G13" s="15" t="s">
        <v>123</v>
      </c>
      <c r="H13" s="15" t="s">
        <v>123</v>
      </c>
    </row>
    <row r="14" spans="1:8" ht="12.75">
      <c r="A14" s="39" t="s">
        <v>116</v>
      </c>
      <c r="B14" s="135" t="s">
        <v>147</v>
      </c>
      <c r="C14" s="152"/>
      <c r="D14" s="152"/>
      <c r="E14" s="152"/>
      <c r="F14" s="152"/>
      <c r="G14" s="153"/>
      <c r="H14" s="152"/>
    </row>
    <row r="15" spans="1:8" ht="12.75">
      <c r="A15" s="39" t="s">
        <v>113</v>
      </c>
      <c r="B15" s="140" t="s">
        <v>149</v>
      </c>
      <c r="C15" s="141"/>
      <c r="D15" s="141"/>
      <c r="E15" s="142">
        <v>3.75</v>
      </c>
      <c r="F15" s="142">
        <v>0</v>
      </c>
      <c r="G15" s="180">
        <f>C16*D16</f>
        <v>5.76</v>
      </c>
      <c r="H15" s="143">
        <f>SUM(E15:G15)</f>
        <v>9.51</v>
      </c>
    </row>
    <row r="16" spans="1:8" ht="12.75">
      <c r="A16" s="39" t="s">
        <v>138</v>
      </c>
      <c r="B16" s="149" t="s">
        <v>165</v>
      </c>
      <c r="C16" s="142">
        <v>6</v>
      </c>
      <c r="D16" s="142">
        <v>0.96</v>
      </c>
      <c r="E16" s="150"/>
      <c r="F16" s="150"/>
      <c r="G16" s="148"/>
      <c r="H16" s="143"/>
    </row>
    <row r="17" spans="1:8" ht="12.75">
      <c r="A17" s="39" t="s">
        <v>113</v>
      </c>
      <c r="B17" s="140" t="s">
        <v>150</v>
      </c>
      <c r="C17" s="141"/>
      <c r="D17" s="141"/>
      <c r="E17" s="142">
        <v>0.7</v>
      </c>
      <c r="F17" s="142">
        <v>0</v>
      </c>
      <c r="G17" s="148">
        <f>C18*D18</f>
        <v>1</v>
      </c>
      <c r="H17" s="143">
        <f>SUM(E17:G17)</f>
        <v>1.7</v>
      </c>
    </row>
    <row r="18" spans="1:8" ht="12.75">
      <c r="A18" s="39" t="s">
        <v>138</v>
      </c>
      <c r="B18" s="149" t="s">
        <v>166</v>
      </c>
      <c r="C18" s="142">
        <v>1</v>
      </c>
      <c r="D18" s="142">
        <v>1</v>
      </c>
      <c r="E18" s="150"/>
      <c r="F18" s="150"/>
      <c r="G18" s="148"/>
      <c r="H18" s="143"/>
    </row>
    <row r="19" spans="1:8" ht="12.75">
      <c r="A19" s="39" t="s">
        <v>113</v>
      </c>
      <c r="B19" s="140" t="s">
        <v>151</v>
      </c>
      <c r="C19" s="179"/>
      <c r="D19" s="179"/>
      <c r="E19" s="142">
        <v>6.05</v>
      </c>
      <c r="F19" s="142">
        <v>7.75</v>
      </c>
      <c r="G19" s="148"/>
      <c r="H19" s="143">
        <f>SUM(E19:G19)</f>
        <v>13.8</v>
      </c>
    </row>
    <row r="20" spans="1:8" ht="12.75">
      <c r="A20" s="39" t="s">
        <v>113</v>
      </c>
      <c r="B20" s="140" t="s">
        <v>152</v>
      </c>
      <c r="C20" s="141"/>
      <c r="D20" s="141"/>
      <c r="E20" s="142">
        <v>4.54</v>
      </c>
      <c r="F20" s="142">
        <v>5.4</v>
      </c>
      <c r="G20" s="148"/>
      <c r="H20" s="143">
        <f>SUM(E20:G20)</f>
        <v>9.940000000000001</v>
      </c>
    </row>
    <row r="21" spans="1:8" ht="12.75">
      <c r="A21" s="39" t="s">
        <v>113</v>
      </c>
      <c r="B21" s="140" t="s">
        <v>153</v>
      </c>
      <c r="C21" s="179"/>
      <c r="D21" s="179"/>
      <c r="E21" s="142">
        <v>0</v>
      </c>
      <c r="F21" s="142">
        <v>0</v>
      </c>
      <c r="G21" s="148">
        <f>C22*D22+C23*D23</f>
        <v>61</v>
      </c>
      <c r="H21" s="143">
        <f>SUM(E21:G21)</f>
        <v>61</v>
      </c>
    </row>
    <row r="22" spans="1:8" ht="12.75">
      <c r="A22" s="39" t="s">
        <v>138</v>
      </c>
      <c r="B22" s="149" t="s">
        <v>167</v>
      </c>
      <c r="C22" s="142">
        <v>500</v>
      </c>
      <c r="D22" s="142">
        <v>0.111</v>
      </c>
      <c r="E22" s="150"/>
      <c r="F22" s="150"/>
      <c r="G22" s="148"/>
      <c r="H22" s="143"/>
    </row>
    <row r="23" spans="1:8" ht="12.75">
      <c r="A23" s="39" t="s">
        <v>138</v>
      </c>
      <c r="B23" s="149" t="s">
        <v>141</v>
      </c>
      <c r="C23" s="142">
        <v>1</v>
      </c>
      <c r="D23" s="142">
        <v>5.5</v>
      </c>
      <c r="E23" s="150"/>
      <c r="F23" s="150"/>
      <c r="G23" s="148"/>
      <c r="H23" s="143"/>
    </row>
    <row r="24" spans="1:8" ht="12.75">
      <c r="A24" s="39" t="s">
        <v>113</v>
      </c>
      <c r="B24" s="140" t="s">
        <v>154</v>
      </c>
      <c r="C24" s="179"/>
      <c r="D24" s="179"/>
      <c r="E24" s="142">
        <v>6.05</v>
      </c>
      <c r="F24" s="142">
        <v>6.21</v>
      </c>
      <c r="G24" s="148"/>
      <c r="H24" s="143">
        <f>SUM(E24:G24)</f>
        <v>12.26</v>
      </c>
    </row>
    <row r="25" spans="1:8" ht="12.75">
      <c r="A25" s="39" t="s">
        <v>113</v>
      </c>
      <c r="B25" s="140" t="s">
        <v>155</v>
      </c>
      <c r="C25" s="179"/>
      <c r="D25" s="179"/>
      <c r="E25" s="142">
        <v>12.58</v>
      </c>
      <c r="F25" s="142">
        <v>10.78</v>
      </c>
      <c r="G25" s="148">
        <f>C26*D26</f>
        <v>300</v>
      </c>
      <c r="H25" s="143">
        <f>SUM(E25:G25)</f>
        <v>323.36</v>
      </c>
    </row>
    <row r="26" spans="1:8" ht="12.75">
      <c r="A26" s="39" t="s">
        <v>138</v>
      </c>
      <c r="B26" s="149" t="s">
        <v>168</v>
      </c>
      <c r="C26" s="142">
        <v>1</v>
      </c>
      <c r="D26" s="142">
        <v>300</v>
      </c>
      <c r="E26" s="150"/>
      <c r="F26" s="150"/>
      <c r="G26" s="148"/>
      <c r="H26" s="143"/>
    </row>
    <row r="27" spans="1:8" ht="12.75">
      <c r="A27" s="39" t="s">
        <v>113</v>
      </c>
      <c r="B27" s="140" t="s">
        <v>156</v>
      </c>
      <c r="C27" s="179"/>
      <c r="D27" s="179"/>
      <c r="E27" s="142">
        <v>3.63</v>
      </c>
      <c r="F27" s="142">
        <v>1.7</v>
      </c>
      <c r="G27" s="148"/>
      <c r="H27" s="143">
        <f>SUM(E27:G27)</f>
        <v>5.33</v>
      </c>
    </row>
    <row r="28" spans="1:8" ht="12.75">
      <c r="A28" s="39" t="s">
        <v>113</v>
      </c>
      <c r="B28" s="140" t="s">
        <v>157</v>
      </c>
      <c r="C28" s="179"/>
      <c r="D28" s="179"/>
      <c r="E28" s="142">
        <v>0</v>
      </c>
      <c r="F28" s="142">
        <v>0</v>
      </c>
      <c r="G28" s="148">
        <f>C29*D29+C30*D30+C31*D31</f>
        <v>34.365</v>
      </c>
      <c r="H28" s="143">
        <f>SUM(E28:G28)</f>
        <v>34.365</v>
      </c>
    </row>
    <row r="29" spans="1:8" ht="12.75">
      <c r="A29" s="39" t="s">
        <v>138</v>
      </c>
      <c r="B29" s="149" t="s">
        <v>169</v>
      </c>
      <c r="C29" s="142">
        <v>1</v>
      </c>
      <c r="D29" s="142">
        <v>26</v>
      </c>
      <c r="E29" s="150"/>
      <c r="F29" s="150"/>
      <c r="G29" s="148"/>
      <c r="H29" s="143"/>
    </row>
    <row r="30" spans="1:8" ht="12.75">
      <c r="A30" s="39" t="s">
        <v>138</v>
      </c>
      <c r="B30" s="149" t="s">
        <v>170</v>
      </c>
      <c r="C30" s="142">
        <v>0.25</v>
      </c>
      <c r="D30" s="142">
        <v>11.46</v>
      </c>
      <c r="E30" s="150"/>
      <c r="F30" s="150"/>
      <c r="G30" s="148"/>
      <c r="H30" s="143"/>
    </row>
    <row r="31" spans="1:8" ht="12.75">
      <c r="A31" s="39" t="s">
        <v>138</v>
      </c>
      <c r="B31" s="149" t="s">
        <v>141</v>
      </c>
      <c r="C31" s="142">
        <v>1</v>
      </c>
      <c r="D31" s="142">
        <v>5.5</v>
      </c>
      <c r="E31" s="150"/>
      <c r="F31" s="150"/>
      <c r="G31" s="181"/>
      <c r="H31" s="143"/>
    </row>
    <row r="32" spans="1:8" ht="12.75">
      <c r="A32" s="39" t="s">
        <v>114</v>
      </c>
      <c r="B32" s="65" t="s">
        <v>148</v>
      </c>
      <c r="C32" s="66"/>
      <c r="D32" s="66"/>
      <c r="E32" s="67"/>
      <c r="F32" s="67"/>
      <c r="G32" s="68"/>
      <c r="H32" s="69">
        <f>SUM(H15:H31)</f>
        <v>471.26500000000004</v>
      </c>
    </row>
    <row r="33" spans="1:8" ht="12.75">
      <c r="A33" s="39" t="s">
        <v>116</v>
      </c>
      <c r="B33" s="136" t="s">
        <v>143</v>
      </c>
      <c r="C33" s="124"/>
      <c r="D33" s="124"/>
      <c r="E33" s="125"/>
      <c r="F33" s="125"/>
      <c r="G33" s="125"/>
      <c r="H33" s="125"/>
    </row>
    <row r="34" spans="1:8" ht="12.75">
      <c r="A34" s="39" t="s">
        <v>113</v>
      </c>
      <c r="B34" s="140" t="s">
        <v>158</v>
      </c>
      <c r="C34" s="145"/>
      <c r="D34" s="145"/>
      <c r="E34" s="144">
        <v>7.26</v>
      </c>
      <c r="F34" s="144">
        <v>2.3</v>
      </c>
      <c r="G34" s="73"/>
      <c r="H34" s="74">
        <f>SUM(E34:G34)</f>
        <v>9.559999999999999</v>
      </c>
    </row>
    <row r="35" spans="1:8" ht="12.75">
      <c r="A35" s="39" t="s">
        <v>113</v>
      </c>
      <c r="B35" s="140" t="s">
        <v>159</v>
      </c>
      <c r="C35" s="145"/>
      <c r="D35" s="145"/>
      <c r="E35" s="144">
        <v>6.05</v>
      </c>
      <c r="F35" s="144">
        <v>4.58</v>
      </c>
      <c r="G35" s="73"/>
      <c r="H35" s="74">
        <f>SUM(E35:G35)</f>
        <v>10.629999999999999</v>
      </c>
    </row>
    <row r="36" spans="1:8" ht="12.75">
      <c r="A36" s="39" t="s">
        <v>113</v>
      </c>
      <c r="B36" s="140" t="s">
        <v>156</v>
      </c>
      <c r="C36" s="145"/>
      <c r="D36" s="145"/>
      <c r="E36" s="144">
        <v>3.63</v>
      </c>
      <c r="F36" s="144">
        <v>1.7</v>
      </c>
      <c r="G36" s="73"/>
      <c r="H36" s="74">
        <f>SUM(E36:G36)</f>
        <v>5.33</v>
      </c>
    </row>
    <row r="37" spans="1:8" ht="12.75">
      <c r="A37" s="39" t="s">
        <v>113</v>
      </c>
      <c r="B37" s="140" t="s">
        <v>157</v>
      </c>
      <c r="C37" s="145"/>
      <c r="D37" s="145"/>
      <c r="E37" s="144">
        <v>0</v>
      </c>
      <c r="F37" s="144">
        <v>0</v>
      </c>
      <c r="G37" s="73">
        <f>C38*D38+C39*D39+C40*D40</f>
        <v>21.365000000000002</v>
      </c>
      <c r="H37" s="74">
        <f>SUM(E37:G37)</f>
        <v>21.365000000000002</v>
      </c>
    </row>
    <row r="38" spans="1:8" ht="12.75">
      <c r="A38" s="39" t="s">
        <v>138</v>
      </c>
      <c r="B38" s="149" t="s">
        <v>169</v>
      </c>
      <c r="C38" s="144">
        <v>0.5</v>
      </c>
      <c r="D38" s="144">
        <v>26</v>
      </c>
      <c r="E38" s="128"/>
      <c r="F38" s="128"/>
      <c r="G38" s="73"/>
      <c r="H38" s="74"/>
    </row>
    <row r="39" spans="1:8" ht="12.75">
      <c r="A39" s="39" t="s">
        <v>138</v>
      </c>
      <c r="B39" s="149" t="s">
        <v>170</v>
      </c>
      <c r="C39" s="144">
        <v>0.25</v>
      </c>
      <c r="D39" s="144">
        <v>11.46</v>
      </c>
      <c r="E39" s="128"/>
      <c r="F39" s="128"/>
      <c r="G39" s="73"/>
      <c r="H39" s="74"/>
    </row>
    <row r="40" spans="1:8" ht="12.75">
      <c r="A40" s="39" t="s">
        <v>138</v>
      </c>
      <c r="B40" s="149" t="s">
        <v>141</v>
      </c>
      <c r="C40" s="144">
        <v>1</v>
      </c>
      <c r="D40" s="144">
        <v>5.5</v>
      </c>
      <c r="E40" s="128"/>
      <c r="F40" s="128"/>
      <c r="G40" s="73"/>
      <c r="H40" s="74"/>
    </row>
    <row r="41" spans="1:8" ht="12.75">
      <c r="A41" s="39" t="s">
        <v>113</v>
      </c>
      <c r="B41" s="140" t="s">
        <v>153</v>
      </c>
      <c r="C41" s="145"/>
      <c r="D41" s="145"/>
      <c r="E41" s="144">
        <v>0</v>
      </c>
      <c r="F41" s="144">
        <v>0</v>
      </c>
      <c r="G41" s="73">
        <f>C42*D42+C43*D43</f>
        <v>48.625</v>
      </c>
      <c r="H41" s="74">
        <f>SUM(E41:G41)</f>
        <v>48.625</v>
      </c>
    </row>
    <row r="42" spans="1:8" ht="12.75">
      <c r="A42" s="39" t="s">
        <v>138</v>
      </c>
      <c r="B42" s="149" t="s">
        <v>171</v>
      </c>
      <c r="C42" s="144">
        <v>375</v>
      </c>
      <c r="D42" s="144">
        <v>0.115</v>
      </c>
      <c r="E42" s="128"/>
      <c r="F42" s="128"/>
      <c r="G42" s="73"/>
      <c r="H42" s="74"/>
    </row>
    <row r="43" spans="1:8" ht="12.75">
      <c r="A43" s="39" t="s">
        <v>138</v>
      </c>
      <c r="B43" s="149" t="s">
        <v>141</v>
      </c>
      <c r="C43" s="144">
        <v>1</v>
      </c>
      <c r="D43" s="144">
        <v>5.5</v>
      </c>
      <c r="E43" s="128"/>
      <c r="F43" s="128"/>
      <c r="G43" s="73"/>
      <c r="H43" s="74"/>
    </row>
    <row r="44" spans="1:8" ht="12.75">
      <c r="A44" s="39" t="s">
        <v>113</v>
      </c>
      <c r="B44" s="140" t="s">
        <v>160</v>
      </c>
      <c r="C44" s="187"/>
      <c r="D44" s="187"/>
      <c r="E44" s="144">
        <v>41.25</v>
      </c>
      <c r="F44" s="144">
        <v>0</v>
      </c>
      <c r="G44" s="73">
        <f>C45*D45</f>
        <v>31.68</v>
      </c>
      <c r="H44" s="74">
        <f>SUM(E44:G44)</f>
        <v>72.93</v>
      </c>
    </row>
    <row r="45" spans="1:8" ht="12.75">
      <c r="A45" s="39" t="s">
        <v>138</v>
      </c>
      <c r="B45" s="149" t="s">
        <v>165</v>
      </c>
      <c r="C45" s="144">
        <v>33</v>
      </c>
      <c r="D45" s="144">
        <v>0.96</v>
      </c>
      <c r="E45" s="128"/>
      <c r="F45" s="128"/>
      <c r="G45" s="73"/>
      <c r="H45" s="74"/>
    </row>
    <row r="46" spans="1:8" ht="12.75">
      <c r="A46" s="39" t="s">
        <v>113</v>
      </c>
      <c r="B46" s="140" t="s">
        <v>161</v>
      </c>
      <c r="C46" s="187"/>
      <c r="D46" s="187"/>
      <c r="E46" s="144">
        <v>0</v>
      </c>
      <c r="F46" s="144">
        <v>0</v>
      </c>
      <c r="G46" s="73">
        <f>C47*D47+C48*D48+C49*D49</f>
        <v>62.83</v>
      </c>
      <c r="H46" s="74">
        <f>SUM(E46:G46)</f>
        <v>62.83</v>
      </c>
    </row>
    <row r="47" spans="1:8" ht="12.75">
      <c r="A47" s="39" t="s">
        <v>138</v>
      </c>
      <c r="B47" s="149" t="s">
        <v>170</v>
      </c>
      <c r="C47" s="144">
        <v>0.5</v>
      </c>
      <c r="D47" s="144">
        <v>3.36</v>
      </c>
      <c r="E47" s="128"/>
      <c r="F47" s="128"/>
      <c r="G47" s="73"/>
      <c r="H47" s="74"/>
    </row>
    <row r="48" spans="1:8" ht="12.75">
      <c r="A48" s="39" t="s">
        <v>138</v>
      </c>
      <c r="B48" s="149" t="s">
        <v>172</v>
      </c>
      <c r="C48" s="144">
        <v>5</v>
      </c>
      <c r="D48" s="144">
        <v>10.03</v>
      </c>
      <c r="E48" s="128"/>
      <c r="F48" s="128"/>
      <c r="G48" s="73"/>
      <c r="H48" s="74"/>
    </row>
    <row r="49" spans="1:8" ht="12.75">
      <c r="A49" s="39" t="s">
        <v>138</v>
      </c>
      <c r="B49" s="149" t="s">
        <v>141</v>
      </c>
      <c r="C49" s="144">
        <v>2</v>
      </c>
      <c r="D49" s="144">
        <v>5.5</v>
      </c>
      <c r="E49" s="128"/>
      <c r="F49" s="128"/>
      <c r="G49" s="73"/>
      <c r="H49" s="74"/>
    </row>
    <row r="50" spans="1:8" ht="12.75">
      <c r="A50" s="39" t="s">
        <v>113</v>
      </c>
      <c r="B50" s="140" t="s">
        <v>162</v>
      </c>
      <c r="C50" s="187"/>
      <c r="D50" s="187"/>
      <c r="E50" s="144">
        <v>70</v>
      </c>
      <c r="F50" s="144">
        <v>0</v>
      </c>
      <c r="G50" s="73"/>
      <c r="H50" s="74">
        <f>SUM(E50:G50)</f>
        <v>70</v>
      </c>
    </row>
    <row r="51" spans="1:8" ht="12.75">
      <c r="A51" s="39" t="s">
        <v>113</v>
      </c>
      <c r="B51" s="140" t="s">
        <v>163</v>
      </c>
      <c r="C51" s="187"/>
      <c r="D51" s="187"/>
      <c r="E51" s="144">
        <v>0</v>
      </c>
      <c r="F51" s="144">
        <v>0</v>
      </c>
      <c r="G51" s="73">
        <f>C52*D52</f>
        <v>171</v>
      </c>
      <c r="H51" s="74">
        <f>SUM(E51:G51)</f>
        <v>171</v>
      </c>
    </row>
    <row r="52" spans="1:8" ht="12.75">
      <c r="A52" s="39" t="s">
        <v>138</v>
      </c>
      <c r="B52" s="149" t="s">
        <v>164</v>
      </c>
      <c r="C52" s="144">
        <v>60</v>
      </c>
      <c r="D52" s="144">
        <v>2.85</v>
      </c>
      <c r="E52" s="128"/>
      <c r="F52" s="128"/>
      <c r="G52" s="188"/>
      <c r="H52" s="74"/>
    </row>
    <row r="53" spans="1:8" ht="12.75">
      <c r="A53" s="39" t="s">
        <v>114</v>
      </c>
      <c r="B53" s="123" t="s">
        <v>108</v>
      </c>
      <c r="C53" s="124"/>
      <c r="D53" s="124"/>
      <c r="E53" s="125"/>
      <c r="F53" s="125"/>
      <c r="G53" s="126"/>
      <c r="H53" s="70">
        <f>SUM(H34:H52)</f>
        <v>472.27</v>
      </c>
    </row>
    <row r="54" spans="1:8" ht="12.75">
      <c r="A54" s="39" t="s">
        <v>116</v>
      </c>
      <c r="B54" s="138" t="s">
        <v>101</v>
      </c>
      <c r="C54" s="137"/>
      <c r="D54" s="137"/>
      <c r="E54" s="125"/>
      <c r="F54" s="125"/>
      <c r="G54" s="125"/>
      <c r="H54" s="75"/>
    </row>
    <row r="55" spans="1:8" ht="12.75">
      <c r="A55" s="39" t="s">
        <v>113</v>
      </c>
      <c r="B55" s="118" t="s">
        <v>142</v>
      </c>
      <c r="C55" s="119"/>
      <c r="D55" s="119"/>
      <c r="E55" s="72">
        <v>0</v>
      </c>
      <c r="F55" s="72">
        <v>3.6</v>
      </c>
      <c r="G55" s="146"/>
      <c r="H55" s="74">
        <f>SUM(E55:G55)</f>
        <v>3.6</v>
      </c>
    </row>
    <row r="56" spans="1:8" ht="12.75">
      <c r="A56" s="39" t="s">
        <v>113</v>
      </c>
      <c r="B56" s="118" t="s">
        <v>8</v>
      </c>
      <c r="C56" s="119"/>
      <c r="D56" s="119"/>
      <c r="E56" s="72">
        <v>0</v>
      </c>
      <c r="F56" s="72">
        <v>0</v>
      </c>
      <c r="G56" s="76">
        <f>C57*D57+C58*D58</f>
        <v>35.22</v>
      </c>
      <c r="H56" s="74">
        <f>+SUM(E56:G56)</f>
        <v>35.22</v>
      </c>
    </row>
    <row r="57" spans="1:8" ht="12.75">
      <c r="A57" s="39" t="s">
        <v>138</v>
      </c>
      <c r="B57" s="189" t="s">
        <v>178</v>
      </c>
      <c r="C57" s="190">
        <v>1</v>
      </c>
      <c r="D57" s="190">
        <v>35.22</v>
      </c>
      <c r="E57" s="191"/>
      <c r="F57" s="191"/>
      <c r="G57" s="120"/>
      <c r="H57" s="74"/>
    </row>
    <row r="58" spans="1:8" ht="12.75">
      <c r="A58" s="39" t="s">
        <v>113</v>
      </c>
      <c r="B58" s="118" t="s">
        <v>144</v>
      </c>
      <c r="C58" s="119"/>
      <c r="D58" s="119"/>
      <c r="E58" s="72">
        <v>0</v>
      </c>
      <c r="F58" s="72">
        <v>0</v>
      </c>
      <c r="G58" s="76">
        <f>C59*D59</f>
        <v>10</v>
      </c>
      <c r="H58" s="74">
        <f>SUM(E58:G58)</f>
        <v>10</v>
      </c>
    </row>
    <row r="59" spans="1:8" ht="12.75">
      <c r="A59" s="39" t="s">
        <v>138</v>
      </c>
      <c r="B59" s="189" t="s">
        <v>178</v>
      </c>
      <c r="C59" s="190">
        <v>1</v>
      </c>
      <c r="D59" s="190">
        <v>10</v>
      </c>
      <c r="E59" s="191"/>
      <c r="F59" s="191"/>
      <c r="G59" s="120"/>
      <c r="H59" s="74"/>
    </row>
    <row r="60" spans="1:8" ht="12.75">
      <c r="A60" s="39" t="s">
        <v>113</v>
      </c>
      <c r="B60" s="118" t="s">
        <v>7</v>
      </c>
      <c r="C60" s="119"/>
      <c r="D60" s="119"/>
      <c r="E60" s="72">
        <v>10.71</v>
      </c>
      <c r="F60" s="72">
        <v>3.1</v>
      </c>
      <c r="G60" s="76"/>
      <c r="H60" s="74">
        <f>SUM(E60:G60)</f>
        <v>13.81</v>
      </c>
    </row>
    <row r="61" spans="1:8" ht="12.75">
      <c r="A61" s="39" t="s">
        <v>113</v>
      </c>
      <c r="B61" s="118" t="s">
        <v>67</v>
      </c>
      <c r="C61" s="119"/>
      <c r="D61" s="119"/>
      <c r="E61" s="72">
        <v>7.5</v>
      </c>
      <c r="F61" s="72">
        <v>0.13</v>
      </c>
      <c r="G61" s="76"/>
      <c r="H61" s="74">
        <f>SUM(E61:G61)</f>
        <v>7.63</v>
      </c>
    </row>
    <row r="62" spans="1:8" ht="12.75">
      <c r="A62" s="39" t="s">
        <v>113</v>
      </c>
      <c r="B62" s="118" t="s">
        <v>131</v>
      </c>
      <c r="C62" s="119"/>
      <c r="D62" s="119"/>
      <c r="E62" s="72">
        <v>0</v>
      </c>
      <c r="F62" s="72">
        <v>0</v>
      </c>
      <c r="G62" s="120"/>
      <c r="H62" s="74">
        <f>SUM(E62:G62)</f>
        <v>0</v>
      </c>
    </row>
    <row r="63" spans="1:8" ht="12.75">
      <c r="A63" s="39" t="s">
        <v>114</v>
      </c>
      <c r="B63" s="112" t="s">
        <v>102</v>
      </c>
      <c r="C63" s="121"/>
      <c r="D63" s="121"/>
      <c r="E63" s="71"/>
      <c r="F63" s="71"/>
      <c r="G63" s="122"/>
      <c r="H63" s="70">
        <f>SUM(H55:H62)</f>
        <v>70.26</v>
      </c>
    </row>
    <row r="64" spans="2:8" ht="12.75">
      <c r="B64" s="77" t="s">
        <v>109</v>
      </c>
      <c r="C64" s="78"/>
      <c r="D64" s="79"/>
      <c r="E64" s="80"/>
      <c r="F64" s="80"/>
      <c r="G64" s="81"/>
      <c r="H64" s="82">
        <f>SUM(H63,H53,H32)</f>
        <v>1013.7950000000001</v>
      </c>
    </row>
    <row r="65" spans="1:8" ht="12.75">
      <c r="A65" s="39" t="s">
        <v>117</v>
      </c>
      <c r="B65" s="83"/>
      <c r="C65" s="19"/>
      <c r="D65" s="18"/>
      <c r="E65" s="13"/>
      <c r="F65" s="13"/>
      <c r="G65" s="12"/>
      <c r="H65" s="84"/>
    </row>
    <row r="66" spans="2:8" ht="12.75">
      <c r="B66" s="7"/>
      <c r="C66" s="19"/>
      <c r="D66" s="18"/>
      <c r="E66" s="13"/>
      <c r="F66" s="13"/>
      <c r="G66" s="12"/>
      <c r="H66" s="17"/>
    </row>
    <row r="67" spans="1:8" ht="12.75">
      <c r="A67" s="39" t="s">
        <v>116</v>
      </c>
      <c r="B67" s="85" t="s">
        <v>61</v>
      </c>
      <c r="C67" s="85"/>
      <c r="D67" s="3"/>
      <c r="E67" s="13"/>
      <c r="F67" s="13"/>
      <c r="G67" s="13"/>
      <c r="H67" s="8"/>
    </row>
    <row r="68" spans="1:8" ht="12.75">
      <c r="A68" s="39" t="s">
        <v>113</v>
      </c>
      <c r="B68" s="86"/>
      <c r="C68" s="86"/>
      <c r="D68" s="86"/>
      <c r="E68" s="87"/>
      <c r="F68" s="87"/>
      <c r="G68" s="87"/>
      <c r="H68" s="88" t="s">
        <v>66</v>
      </c>
    </row>
    <row r="69" spans="2:8" ht="12.75">
      <c r="B69" s="138" t="s">
        <v>132</v>
      </c>
      <c r="C69" s="138"/>
      <c r="D69" s="138"/>
      <c r="E69" s="75"/>
      <c r="F69" s="75"/>
      <c r="G69" s="75"/>
      <c r="H69" s="75"/>
    </row>
    <row r="70" spans="1:8" ht="12.75">
      <c r="A70" s="39" t="s">
        <v>113</v>
      </c>
      <c r="B70" s="118" t="s">
        <v>133</v>
      </c>
      <c r="C70" s="119"/>
      <c r="D70" s="119"/>
      <c r="E70" s="10"/>
      <c r="F70" s="10"/>
      <c r="G70" s="11">
        <v>7.25</v>
      </c>
      <c r="H70" s="111">
        <f>G70</f>
        <v>7.25</v>
      </c>
    </row>
    <row r="71" spans="1:8" ht="12.75">
      <c r="A71" s="39" t="s">
        <v>113</v>
      </c>
      <c r="B71" s="118" t="s">
        <v>145</v>
      </c>
      <c r="C71" s="119"/>
      <c r="D71" s="119"/>
      <c r="E71" s="10"/>
      <c r="F71" s="10"/>
      <c r="G71" s="11">
        <v>100</v>
      </c>
      <c r="H71" s="111">
        <f>G71</f>
        <v>100</v>
      </c>
    </row>
    <row r="72" spans="1:8" ht="12.75">
      <c r="A72" s="39" t="s">
        <v>114</v>
      </c>
      <c r="B72" s="118" t="s">
        <v>131</v>
      </c>
      <c r="C72" s="119"/>
      <c r="D72" s="119"/>
      <c r="E72" s="127"/>
      <c r="F72" s="127"/>
      <c r="G72" s="72">
        <v>0</v>
      </c>
      <c r="H72" s="111">
        <f>G72</f>
        <v>0</v>
      </c>
    </row>
    <row r="73" spans="1:8" ht="12.75">
      <c r="A73" s="39" t="s">
        <v>116</v>
      </c>
      <c r="B73" s="129" t="s">
        <v>134</v>
      </c>
      <c r="C73" s="130"/>
      <c r="D73" s="130"/>
      <c r="E73" s="131"/>
      <c r="F73" s="131"/>
      <c r="G73" s="125"/>
      <c r="H73" s="132">
        <f>SUM(H70:H72)</f>
        <v>107.25</v>
      </c>
    </row>
    <row r="74" spans="1:8" ht="12.75">
      <c r="A74" s="39" t="s">
        <v>113</v>
      </c>
      <c r="B74" s="139" t="s">
        <v>135</v>
      </c>
      <c r="C74" s="130"/>
      <c r="D74" s="130"/>
      <c r="E74" s="131"/>
      <c r="F74" s="131"/>
      <c r="G74" s="125"/>
      <c r="H74" s="125"/>
    </row>
    <row r="75" spans="1:8" ht="12.75">
      <c r="A75" s="39" t="s">
        <v>113</v>
      </c>
      <c r="B75" s="118" t="s">
        <v>146</v>
      </c>
      <c r="C75" s="119"/>
      <c r="D75" s="119"/>
      <c r="E75" s="89"/>
      <c r="F75" s="89"/>
      <c r="G75" s="11">
        <v>87.08</v>
      </c>
      <c r="H75" s="111">
        <f>G75</f>
        <v>87.08</v>
      </c>
    </row>
    <row r="76" spans="1:8" ht="12.75">
      <c r="A76" s="39" t="s">
        <v>113</v>
      </c>
      <c r="B76" s="118" t="s">
        <v>173</v>
      </c>
      <c r="C76" s="119"/>
      <c r="D76" s="119"/>
      <c r="E76" s="11"/>
      <c r="F76" s="11"/>
      <c r="G76" s="11">
        <v>2.16</v>
      </c>
      <c r="H76" s="73">
        <f>G76</f>
        <v>2.16</v>
      </c>
    </row>
    <row r="77" spans="1:8" ht="12.75">
      <c r="A77" s="39" t="s">
        <v>114</v>
      </c>
      <c r="B77" s="118" t="s">
        <v>131</v>
      </c>
      <c r="C77" s="119"/>
      <c r="D77" s="119"/>
      <c r="E77" s="133"/>
      <c r="F77" s="133"/>
      <c r="G77" s="72">
        <v>0</v>
      </c>
      <c r="H77" s="111">
        <f>G77</f>
        <v>0</v>
      </c>
    </row>
    <row r="78" spans="1:8" ht="12.75">
      <c r="A78" s="39" t="s">
        <v>115</v>
      </c>
      <c r="B78" s="129" t="s">
        <v>136</v>
      </c>
      <c r="C78" s="134"/>
      <c r="D78" s="134"/>
      <c r="E78" s="131"/>
      <c r="F78" s="131"/>
      <c r="G78" s="125"/>
      <c r="H78" s="132">
        <f>SUM(H75:H77)</f>
        <v>89.24</v>
      </c>
    </row>
    <row r="79" spans="2:8" ht="12.75">
      <c r="B79" s="62" t="s">
        <v>68</v>
      </c>
      <c r="C79" s="90"/>
      <c r="D79" s="90"/>
      <c r="E79" s="80"/>
      <c r="F79" s="80"/>
      <c r="G79" s="80"/>
      <c r="H79" s="91">
        <f>SUM(H73+H78)</f>
        <v>196.49</v>
      </c>
    </row>
    <row r="80" spans="2:8" ht="12.75">
      <c r="B80" s="4"/>
      <c r="C80" s="4"/>
      <c r="D80" s="4"/>
      <c r="E80" s="4"/>
      <c r="F80" s="4"/>
      <c r="G80" s="4"/>
      <c r="H80" s="2"/>
    </row>
    <row r="81" spans="2:8" ht="12.75">
      <c r="B81" s="4"/>
      <c r="C81" s="4"/>
      <c r="D81" s="4"/>
      <c r="E81" s="4"/>
      <c r="F81" s="4"/>
      <c r="G81" s="4"/>
      <c r="H81" s="2"/>
    </row>
    <row r="82" spans="2:8" ht="12.75">
      <c r="B82" s="112" t="s">
        <v>137</v>
      </c>
      <c r="C82" s="113"/>
      <c r="D82" s="113"/>
      <c r="E82" s="113"/>
      <c r="F82" s="113"/>
      <c r="G82" s="113"/>
      <c r="H82" s="114"/>
    </row>
    <row r="83" spans="2:7" ht="12.75">
      <c r="B83" s="92" t="s">
        <v>63</v>
      </c>
      <c r="C83" s="93"/>
      <c r="D83" s="93"/>
      <c r="E83" s="93"/>
      <c r="F83" s="94">
        <f>H64</f>
        <v>1013.7950000000001</v>
      </c>
      <c r="G83" s="95"/>
    </row>
    <row r="84" spans="2:7" ht="12.75">
      <c r="B84" s="96" t="s">
        <v>64</v>
      </c>
      <c r="C84" s="97"/>
      <c r="D84" s="97"/>
      <c r="E84" s="97"/>
      <c r="F84" s="98">
        <f>H79</f>
        <v>196.49</v>
      </c>
      <c r="G84" s="95"/>
    </row>
    <row r="85" spans="2:7" ht="12.75">
      <c r="B85" s="99" t="s">
        <v>9</v>
      </c>
      <c r="C85" s="100"/>
      <c r="D85" s="100"/>
      <c r="E85" s="100"/>
      <c r="F85" s="101">
        <f>SUM(H9-F83)</f>
        <v>-53.79500000000007</v>
      </c>
      <c r="G85" s="102"/>
    </row>
    <row r="86" spans="2:7" ht="13.5" thickBot="1">
      <c r="B86" s="96" t="s">
        <v>10</v>
      </c>
      <c r="C86" s="97"/>
      <c r="D86" s="97"/>
      <c r="E86" s="97"/>
      <c r="F86" s="103">
        <f>SUM(H9-(F83+F84))</f>
        <v>-250.28500000000008</v>
      </c>
      <c r="G86" s="95"/>
    </row>
    <row r="87" spans="2:7" ht="13.5" thickTop="1">
      <c r="B87" s="104" t="s">
        <v>69</v>
      </c>
      <c r="C87" s="105"/>
      <c r="D87" s="105"/>
      <c r="E87" s="105"/>
      <c r="F87" s="106">
        <f>F83/E8</f>
        <v>16.896583333333336</v>
      </c>
      <c r="G87" s="107"/>
    </row>
    <row r="88" spans="2:7" ht="12.75">
      <c r="B88" s="108" t="s">
        <v>70</v>
      </c>
      <c r="C88" s="109"/>
      <c r="D88" s="109"/>
      <c r="E88" s="109"/>
      <c r="F88" s="110">
        <f>(F83+F84)/E8</f>
        <v>20.17141666666667</v>
      </c>
      <c r="G88"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56" customWidth="1"/>
    <col min="4" max="4" width="7.7109375" style="31" customWidth="1"/>
    <col min="5" max="5" width="6.7109375" style="156" customWidth="1"/>
    <col min="6" max="6" width="5.7109375" style="154" customWidth="1"/>
    <col min="7" max="7" width="9.7109375" style="156" customWidth="1"/>
    <col min="8" max="8" width="9.7109375" style="31" customWidth="1"/>
    <col min="9" max="9" width="9.8515625" style="156" customWidth="1"/>
    <col min="10" max="10" width="9.8515625" style="31" customWidth="1"/>
    <col min="11" max="11" width="9.8515625" style="156" customWidth="1"/>
    <col min="12" max="12" width="11.57421875" style="33" customWidth="1"/>
    <col min="13" max="13" width="9.8515625" style="156" customWidth="1"/>
    <col min="14" max="14" width="9.8515625" style="31" customWidth="1"/>
    <col min="15" max="15" width="9.8515625" style="156" customWidth="1"/>
    <col min="16" max="16" width="9.8515625" style="31" customWidth="1"/>
    <col min="17" max="17" width="10.7109375" style="156" customWidth="1"/>
    <col min="18" max="23" width="9.8515625" style="31" customWidth="1"/>
    <col min="24" max="16384" width="9.8515625" style="31" customWidth="1"/>
  </cols>
  <sheetData>
    <row r="1" spans="1:45" s="167" customFormat="1" ht="12.75">
      <c r="A1" s="172" t="s">
        <v>130</v>
      </c>
      <c r="B1" s="164" t="s">
        <v>74</v>
      </c>
      <c r="C1" s="165" t="s">
        <v>76</v>
      </c>
      <c r="D1" s="164" t="s">
        <v>76</v>
      </c>
      <c r="E1" s="165" t="s">
        <v>16</v>
      </c>
      <c r="F1" s="164" t="s">
        <v>17</v>
      </c>
      <c r="G1" s="165" t="s">
        <v>18</v>
      </c>
      <c r="H1" s="164" t="s">
        <v>91</v>
      </c>
      <c r="I1" s="165" t="s">
        <v>79</v>
      </c>
      <c r="J1" s="164" t="s">
        <v>81</v>
      </c>
      <c r="K1" s="165" t="s">
        <v>83</v>
      </c>
      <c r="L1" s="166" t="s">
        <v>98</v>
      </c>
      <c r="M1" s="193" t="s">
        <v>140</v>
      </c>
      <c r="N1" s="194"/>
      <c r="O1" s="165" t="s">
        <v>95</v>
      </c>
      <c r="P1" s="164" t="s">
        <v>97</v>
      </c>
      <c r="Q1" s="165" t="s">
        <v>100</v>
      </c>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row>
    <row r="2" spans="1:45" s="167" customFormat="1" ht="12.75">
      <c r="A2" s="168"/>
      <c r="B2" s="164" t="s">
        <v>75</v>
      </c>
      <c r="C2" s="165" t="s">
        <v>77</v>
      </c>
      <c r="D2" s="164" t="s">
        <v>78</v>
      </c>
      <c r="E2" s="165"/>
      <c r="F2" s="164"/>
      <c r="G2" s="165"/>
      <c r="H2" s="164"/>
      <c r="I2" s="165" t="s">
        <v>80</v>
      </c>
      <c r="J2" s="164" t="s">
        <v>82</v>
      </c>
      <c r="K2" s="165" t="s">
        <v>84</v>
      </c>
      <c r="L2" s="166" t="s">
        <v>99</v>
      </c>
      <c r="M2" s="164"/>
      <c r="N2" s="164"/>
      <c r="O2" s="165" t="s">
        <v>96</v>
      </c>
      <c r="P2" s="164" t="s">
        <v>96</v>
      </c>
      <c r="Q2" s="165" t="s">
        <v>85</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row>
    <row r="3" spans="1:45" s="167" customFormat="1" ht="12.75">
      <c r="A3" s="168"/>
      <c r="B3" s="169" t="s">
        <v>21</v>
      </c>
      <c r="C3" s="170" t="s">
        <v>13</v>
      </c>
      <c r="D3" s="169" t="s">
        <v>22</v>
      </c>
      <c r="E3" s="170" t="s">
        <v>23</v>
      </c>
      <c r="F3" s="169"/>
      <c r="G3" s="170" t="s">
        <v>24</v>
      </c>
      <c r="H3" s="169" t="s">
        <v>24</v>
      </c>
      <c r="I3" s="170" t="s">
        <v>24</v>
      </c>
      <c r="J3" s="169" t="s">
        <v>25</v>
      </c>
      <c r="K3" s="170" t="s">
        <v>25</v>
      </c>
      <c r="L3" s="171" t="s">
        <v>13</v>
      </c>
      <c r="M3" s="165" t="s">
        <v>26</v>
      </c>
      <c r="N3" s="164" t="s">
        <v>27</v>
      </c>
      <c r="O3" s="170"/>
      <c r="P3" s="169"/>
      <c r="Q3" s="170"/>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row>
    <row r="4" spans="1:45" s="173" customFormat="1" ht="12.75">
      <c r="A4" s="34" t="s">
        <v>73</v>
      </c>
      <c r="B4" s="9"/>
      <c r="C4" s="155"/>
      <c r="D4" s="41"/>
      <c r="E4" s="157"/>
      <c r="F4" s="16"/>
      <c r="G4" s="157"/>
      <c r="H4" s="6">
        <f>IF(ISNUMBER(G4),0.4*G4,"")</f>
      </c>
      <c r="I4" s="157"/>
      <c r="J4" s="9"/>
      <c r="K4" s="160">
        <f>IF(ISNUMBER(J4),0.2*J4,"")</f>
      </c>
      <c r="L4" s="24"/>
      <c r="M4" s="161"/>
      <c r="N4" s="41"/>
      <c r="O4" s="163">
        <f>IF(AND(ISNUMBER(G4),ISNUMBER(I4)),G4/I4,"")</f>
      </c>
      <c r="P4" s="5">
        <f>IF(ISNUMBER(O4),IF(O4&lt;20,O4,20),"")</f>
      </c>
      <c r="Q4" s="163">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57</v>
      </c>
      <c r="B5" s="9">
        <v>75</v>
      </c>
      <c r="C5" s="155"/>
      <c r="D5" s="41"/>
      <c r="E5" s="157"/>
      <c r="F5" s="16" t="s">
        <v>19</v>
      </c>
      <c r="G5" s="157">
        <v>12000</v>
      </c>
      <c r="H5" s="6">
        <f aca="true" t="shared" si="0" ref="H5:H68">IF(ISNUMBER(G5),0.4*G5,"")</f>
        <v>4800</v>
      </c>
      <c r="I5" s="157">
        <v>500</v>
      </c>
      <c r="J5" s="9">
        <v>30700</v>
      </c>
      <c r="K5" s="160">
        <f>IF(ISNUMBER(J5),0.2*J5,"")</f>
        <v>6140</v>
      </c>
      <c r="L5" s="24">
        <v>1</v>
      </c>
      <c r="M5" s="161">
        <v>0.007</v>
      </c>
      <c r="N5" s="41">
        <v>2</v>
      </c>
      <c r="O5" s="163">
        <f>IF(AND(ISNUMBER(G5),ISNUMBER(I5)),G5/I5,"")</f>
        <v>24</v>
      </c>
      <c r="P5" s="5">
        <f>IF(ISNUMBER(O5),IF(O5&lt;20,O5,20),"")</f>
        <v>20</v>
      </c>
      <c r="Q5" s="163">
        <f>IF(ISNUMBER(P5),('Prices &amp; Rates'!$C$4/100)/(1-(1+'Prices &amp; Rates'!$C$4/100)^(-P5)),"")</f>
        <v>0.13387878003966064</v>
      </c>
    </row>
    <row r="6" spans="1:17" ht="12.75">
      <c r="A6" s="40" t="s">
        <v>28</v>
      </c>
      <c r="B6" s="9">
        <v>60</v>
      </c>
      <c r="C6" s="155"/>
      <c r="D6" s="41"/>
      <c r="E6" s="157"/>
      <c r="F6" s="16" t="s">
        <v>20</v>
      </c>
      <c r="G6" s="157">
        <v>16000</v>
      </c>
      <c r="H6" s="6">
        <f t="shared" si="0"/>
        <v>6400</v>
      </c>
      <c r="I6" s="157">
        <v>500</v>
      </c>
      <c r="J6" s="9">
        <v>23600</v>
      </c>
      <c r="K6" s="160">
        <f aca="true" t="shared" si="1" ref="K6:K69">IF(ISNUMBER(J6),0.2*J6,"")</f>
        <v>4720</v>
      </c>
      <c r="L6" s="24">
        <v>1</v>
      </c>
      <c r="M6" s="161">
        <v>0.003</v>
      </c>
      <c r="N6" s="41">
        <v>2</v>
      </c>
      <c r="O6" s="163">
        <f aca="true" t="shared" si="2" ref="O6:O42">IF(AND(ISNUMBER(G6),ISNUMBER(I6)),G6/I6,"")</f>
        <v>32</v>
      </c>
      <c r="P6" s="5">
        <f aca="true" t="shared" si="3" ref="P6:P69">IF(ISNUMBER(O6),IF(O6&lt;20,O6,20),"")</f>
        <v>20</v>
      </c>
      <c r="Q6" s="163">
        <f>IF(ISNUMBER(P6),('Prices &amp; Rates'!$C$4/100)/(1-(1+'Prices &amp; Rates'!$C$4/100)^(-P6)),"")</f>
        <v>0.13387878003966064</v>
      </c>
    </row>
    <row r="7" spans="1:17" ht="12.75">
      <c r="A7" s="40" t="s">
        <v>29</v>
      </c>
      <c r="B7" s="9">
        <v>100</v>
      </c>
      <c r="C7" s="155"/>
      <c r="D7" s="41"/>
      <c r="E7" s="157"/>
      <c r="F7" s="16" t="s">
        <v>20</v>
      </c>
      <c r="G7" s="157">
        <v>12000</v>
      </c>
      <c r="H7" s="6">
        <f t="shared" si="0"/>
        <v>4800</v>
      </c>
      <c r="I7" s="157">
        <v>550</v>
      </c>
      <c r="J7" s="9">
        <v>40500</v>
      </c>
      <c r="K7" s="160">
        <f t="shared" si="1"/>
        <v>8100</v>
      </c>
      <c r="L7" s="24">
        <v>1</v>
      </c>
      <c r="M7" s="161">
        <v>0.007</v>
      </c>
      <c r="N7" s="41">
        <v>2</v>
      </c>
      <c r="O7" s="163">
        <f t="shared" si="2"/>
        <v>21.818181818181817</v>
      </c>
      <c r="P7" s="5">
        <f t="shared" si="3"/>
        <v>20</v>
      </c>
      <c r="Q7" s="163">
        <f>IF(ISNUMBER(P7),('Prices &amp; Rates'!$C$4/100)/(1-(1+'Prices &amp; Rates'!$C$4/100)^(-P7)),"")</f>
        <v>0.13387878003966064</v>
      </c>
    </row>
    <row r="8" spans="1:17" ht="12.75">
      <c r="A8" s="40" t="s">
        <v>58</v>
      </c>
      <c r="B8" s="9">
        <v>120</v>
      </c>
      <c r="C8" s="155"/>
      <c r="D8" s="41"/>
      <c r="E8" s="157"/>
      <c r="F8" s="16" t="s">
        <v>20</v>
      </c>
      <c r="G8" s="157">
        <v>16000</v>
      </c>
      <c r="H8" s="6">
        <f t="shared" si="0"/>
        <v>6400</v>
      </c>
      <c r="I8" s="157">
        <v>400</v>
      </c>
      <c r="J8" s="9">
        <v>55000</v>
      </c>
      <c r="K8" s="160">
        <f t="shared" si="1"/>
        <v>11000</v>
      </c>
      <c r="L8" s="24">
        <v>1</v>
      </c>
      <c r="M8" s="161">
        <v>0.007</v>
      </c>
      <c r="N8" s="41">
        <v>2</v>
      </c>
      <c r="O8" s="163">
        <f t="shared" si="2"/>
        <v>40</v>
      </c>
      <c r="P8" s="5">
        <f t="shared" si="3"/>
        <v>20</v>
      </c>
      <c r="Q8" s="163">
        <f>IF(ISNUMBER(P8),('Prices &amp; Rates'!$C$4/100)/(1-(1+'Prices &amp; Rates'!$C$4/100)^(-P8)),"")</f>
        <v>0.13387878003966064</v>
      </c>
    </row>
    <row r="9" spans="1:17" ht="12.75">
      <c r="A9" s="40" t="s">
        <v>30</v>
      </c>
      <c r="B9" s="9">
        <v>160</v>
      </c>
      <c r="C9" s="155"/>
      <c r="D9" s="41"/>
      <c r="E9" s="157"/>
      <c r="F9" s="16" t="s">
        <v>20</v>
      </c>
      <c r="G9" s="157">
        <v>12000</v>
      </c>
      <c r="H9" s="6">
        <f t="shared" si="0"/>
        <v>4800</v>
      </c>
      <c r="I9" s="157">
        <v>600</v>
      </c>
      <c r="J9" s="9">
        <v>53400</v>
      </c>
      <c r="K9" s="160">
        <f t="shared" si="1"/>
        <v>10680</v>
      </c>
      <c r="L9" s="24">
        <v>1</v>
      </c>
      <c r="M9" s="161">
        <v>0.007</v>
      </c>
      <c r="N9" s="41">
        <v>2</v>
      </c>
      <c r="O9" s="163">
        <f t="shared" si="2"/>
        <v>20</v>
      </c>
      <c r="P9" s="5">
        <f t="shared" si="3"/>
        <v>20</v>
      </c>
      <c r="Q9" s="163">
        <f>IF(ISNUMBER(P9),('Prices &amp; Rates'!$C$4/100)/(1-(1+'Prices &amp; Rates'!$C$4/100)^(-P9)),"")</f>
        <v>0.13387878003966064</v>
      </c>
    </row>
    <row r="10" spans="1:17" ht="12.75">
      <c r="A10" s="40" t="s">
        <v>31</v>
      </c>
      <c r="B10" s="9">
        <v>160</v>
      </c>
      <c r="C10" s="155"/>
      <c r="D10" s="41"/>
      <c r="E10" s="157"/>
      <c r="F10" s="16" t="s">
        <v>20</v>
      </c>
      <c r="G10" s="157">
        <v>16000</v>
      </c>
      <c r="H10" s="6">
        <f t="shared" si="0"/>
        <v>6400</v>
      </c>
      <c r="I10" s="157">
        <v>600</v>
      </c>
      <c r="J10" s="9">
        <v>53400</v>
      </c>
      <c r="K10" s="160">
        <f t="shared" si="1"/>
        <v>10680</v>
      </c>
      <c r="L10" s="24">
        <v>1</v>
      </c>
      <c r="M10" s="161">
        <v>0.003</v>
      </c>
      <c r="N10" s="41">
        <v>2</v>
      </c>
      <c r="O10" s="163">
        <f t="shared" si="2"/>
        <v>26.666666666666668</v>
      </c>
      <c r="P10" s="5">
        <f t="shared" si="3"/>
        <v>20</v>
      </c>
      <c r="Q10" s="163">
        <f>IF(ISNUMBER(P10),('Prices &amp; Rates'!$C$4/100)/(1-(1+'Prices &amp; Rates'!$C$4/100)^(-P10)),"")</f>
        <v>0.13387878003966064</v>
      </c>
    </row>
    <row r="11" spans="1:45" s="173" customFormat="1" ht="12">
      <c r="A11" s="40"/>
      <c r="B11" s="9"/>
      <c r="C11" s="155"/>
      <c r="D11" s="41"/>
      <c r="E11" s="157"/>
      <c r="F11" s="16"/>
      <c r="G11" s="157"/>
      <c r="H11" s="6">
        <f t="shared" si="0"/>
      </c>
      <c r="I11" s="157"/>
      <c r="J11" s="9"/>
      <c r="K11" s="160">
        <f t="shared" si="1"/>
      </c>
      <c r="L11" s="24"/>
      <c r="M11" s="161"/>
      <c r="N11" s="41"/>
      <c r="O11" s="163">
        <f t="shared" si="2"/>
      </c>
      <c r="P11" s="5">
        <f t="shared" si="3"/>
      </c>
      <c r="Q11" s="163">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3" customFormat="1" ht="12.75">
      <c r="A12" s="34" t="s">
        <v>72</v>
      </c>
      <c r="B12" s="9"/>
      <c r="C12" s="155"/>
      <c r="D12" s="41"/>
      <c r="E12" s="157"/>
      <c r="F12" s="16"/>
      <c r="G12" s="157"/>
      <c r="H12" s="6">
        <f t="shared" si="0"/>
      </c>
      <c r="I12" s="157"/>
      <c r="J12" s="9"/>
      <c r="K12" s="160">
        <f t="shared" si="1"/>
      </c>
      <c r="L12" s="24"/>
      <c r="M12" s="157"/>
      <c r="N12" s="41"/>
      <c r="O12" s="163">
        <f t="shared" si="2"/>
      </c>
      <c r="P12" s="5">
        <f t="shared" si="3"/>
      </c>
      <c r="Q12" s="163">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32</v>
      </c>
      <c r="B13" s="9"/>
      <c r="C13" s="155">
        <v>80</v>
      </c>
      <c r="D13" s="42">
        <v>5</v>
      </c>
      <c r="E13" s="157">
        <v>18</v>
      </c>
      <c r="F13" s="16"/>
      <c r="G13" s="157">
        <v>2800</v>
      </c>
      <c r="H13" s="6">
        <f t="shared" si="0"/>
        <v>1120</v>
      </c>
      <c r="I13" s="157">
        <v>200</v>
      </c>
      <c r="J13" s="9">
        <v>20000</v>
      </c>
      <c r="K13" s="160">
        <f t="shared" si="1"/>
        <v>4000</v>
      </c>
      <c r="L13" s="24">
        <v>1</v>
      </c>
      <c r="M13" s="162">
        <v>0.1</v>
      </c>
      <c r="N13" s="41">
        <v>1.8</v>
      </c>
      <c r="O13" s="163">
        <f t="shared" si="2"/>
        <v>14</v>
      </c>
      <c r="P13" s="5">
        <f t="shared" si="3"/>
        <v>14</v>
      </c>
      <c r="Q13" s="163">
        <f>IF(ISNUMBER(P13),('Prices &amp; Rates'!$C$4/100)/(1-(1+'Prices &amp; Rates'!$C$4/100)^(-P13)),"")</f>
        <v>0.1508712461076816</v>
      </c>
    </row>
    <row r="14" spans="1:17" ht="12">
      <c r="A14" s="40" t="s">
        <v>33</v>
      </c>
      <c r="B14" s="9"/>
      <c r="C14" s="155">
        <v>75</v>
      </c>
      <c r="D14" s="42">
        <v>4</v>
      </c>
      <c r="E14" s="157">
        <v>16</v>
      </c>
      <c r="F14" s="16"/>
      <c r="G14" s="157">
        <v>2000</v>
      </c>
      <c r="H14" s="6">
        <f t="shared" si="0"/>
        <v>800</v>
      </c>
      <c r="I14" s="157">
        <v>200</v>
      </c>
      <c r="J14" s="9">
        <v>16000</v>
      </c>
      <c r="K14" s="160">
        <f t="shared" si="1"/>
        <v>3200</v>
      </c>
      <c r="L14" s="24">
        <v>1</v>
      </c>
      <c r="M14" s="162">
        <v>0.23</v>
      </c>
      <c r="N14" s="41">
        <v>1.8</v>
      </c>
      <c r="O14" s="163">
        <f t="shared" si="2"/>
        <v>10</v>
      </c>
      <c r="P14" s="5">
        <f t="shared" si="3"/>
        <v>10</v>
      </c>
      <c r="Q14" s="163">
        <f>IF(ISNUMBER(P14),('Prices &amp; Rates'!$C$4/100)/(1-(1+'Prices &amp; Rates'!$C$4/100)^(-P14)),"")</f>
        <v>0.17698416415984403</v>
      </c>
    </row>
    <row r="15" spans="1:17" ht="12">
      <c r="A15" s="40" t="s">
        <v>6</v>
      </c>
      <c r="B15" s="9">
        <v>200</v>
      </c>
      <c r="C15" s="155">
        <v>70</v>
      </c>
      <c r="D15" s="42">
        <v>3</v>
      </c>
      <c r="E15" s="157">
        <v>18</v>
      </c>
      <c r="F15" s="16" t="s">
        <v>19</v>
      </c>
      <c r="G15" s="157">
        <v>2200</v>
      </c>
      <c r="H15" s="6">
        <f t="shared" si="0"/>
        <v>880</v>
      </c>
      <c r="I15" s="157">
        <v>300</v>
      </c>
      <c r="J15" s="9">
        <v>130000</v>
      </c>
      <c r="K15" s="160">
        <f t="shared" si="1"/>
        <v>26000</v>
      </c>
      <c r="L15" s="24">
        <v>1</v>
      </c>
      <c r="M15" s="162">
        <v>0.04</v>
      </c>
      <c r="N15" s="41">
        <v>2.1</v>
      </c>
      <c r="O15" s="163">
        <f t="shared" si="2"/>
        <v>7.333333333333333</v>
      </c>
      <c r="P15" s="5">
        <f t="shared" si="3"/>
        <v>7.333333333333333</v>
      </c>
      <c r="Q15" s="163">
        <f>IF(ISNUMBER(P15),('Prices &amp; Rates'!$C$4/100)/(1-(1+'Prices &amp; Rates'!$C$4/100)^(-P15)),"")</f>
        <v>0.21260759603743282</v>
      </c>
    </row>
    <row r="16" spans="1:17" ht="12">
      <c r="A16" s="40" t="s">
        <v>34</v>
      </c>
      <c r="B16" s="9"/>
      <c r="C16" s="155">
        <v>70</v>
      </c>
      <c r="D16" s="42">
        <v>3</v>
      </c>
      <c r="E16" s="157">
        <v>22</v>
      </c>
      <c r="F16" s="16"/>
      <c r="G16" s="157">
        <v>2500</v>
      </c>
      <c r="H16" s="6">
        <f t="shared" si="0"/>
        <v>1000</v>
      </c>
      <c r="I16" s="157">
        <v>100</v>
      </c>
      <c r="J16" s="9">
        <v>21000</v>
      </c>
      <c r="K16" s="160">
        <f t="shared" si="1"/>
        <v>4200</v>
      </c>
      <c r="L16" s="24">
        <v>1</v>
      </c>
      <c r="M16" s="162">
        <v>0.15</v>
      </c>
      <c r="N16" s="41">
        <v>1.6</v>
      </c>
      <c r="O16" s="163">
        <f t="shared" si="2"/>
        <v>25</v>
      </c>
      <c r="P16" s="5">
        <f t="shared" si="3"/>
        <v>20</v>
      </c>
      <c r="Q16" s="163">
        <f>IF(ISNUMBER(P16),('Prices &amp; Rates'!$C$4/100)/(1-(1+'Prices &amp; Rates'!$C$4/100)^(-P16)),"")</f>
        <v>0.13387878003966064</v>
      </c>
    </row>
    <row r="17" spans="1:17" ht="12">
      <c r="A17" s="40" t="s">
        <v>35</v>
      </c>
      <c r="B17" s="9">
        <v>120</v>
      </c>
      <c r="C17" s="155">
        <v>70</v>
      </c>
      <c r="D17" s="42">
        <v>3.5</v>
      </c>
      <c r="E17" s="157">
        <v>30</v>
      </c>
      <c r="F17" s="16" t="s">
        <v>19</v>
      </c>
      <c r="G17" s="157">
        <v>4000</v>
      </c>
      <c r="H17" s="6">
        <f t="shared" si="0"/>
        <v>1600</v>
      </c>
      <c r="I17" s="157">
        <v>150</v>
      </c>
      <c r="J17" s="9">
        <v>195000</v>
      </c>
      <c r="K17" s="160">
        <f t="shared" si="1"/>
        <v>39000</v>
      </c>
      <c r="L17" s="24">
        <v>1</v>
      </c>
      <c r="M17" s="162">
        <v>0.03</v>
      </c>
      <c r="N17" s="41">
        <v>2</v>
      </c>
      <c r="O17" s="163">
        <f t="shared" si="2"/>
        <v>26.666666666666668</v>
      </c>
      <c r="P17" s="5">
        <f t="shared" si="3"/>
        <v>20</v>
      </c>
      <c r="Q17" s="163">
        <f>IF(ISNUMBER(P17),('Prices &amp; Rates'!$C$4/100)/(1-(1+'Prices &amp; Rates'!$C$4/100)^(-P17)),"")</f>
        <v>0.13387878003966064</v>
      </c>
    </row>
    <row r="18" spans="1:17" ht="12">
      <c r="A18" s="40" t="s">
        <v>36</v>
      </c>
      <c r="B18" s="9"/>
      <c r="C18" s="155">
        <v>80</v>
      </c>
      <c r="D18" s="42">
        <v>7</v>
      </c>
      <c r="E18" s="157">
        <v>21</v>
      </c>
      <c r="F18" s="16"/>
      <c r="G18" s="157">
        <v>2000</v>
      </c>
      <c r="H18" s="6">
        <f t="shared" si="0"/>
        <v>800</v>
      </c>
      <c r="I18" s="157">
        <v>100</v>
      </c>
      <c r="J18" s="9">
        <v>5900</v>
      </c>
      <c r="K18" s="160">
        <f t="shared" si="1"/>
        <v>1180</v>
      </c>
      <c r="L18" s="24">
        <v>1</v>
      </c>
      <c r="M18" s="162">
        <v>0.44</v>
      </c>
      <c r="N18" s="41">
        <v>2</v>
      </c>
      <c r="O18" s="163">
        <f t="shared" si="2"/>
        <v>20</v>
      </c>
      <c r="P18" s="5">
        <f t="shared" si="3"/>
        <v>20</v>
      </c>
      <c r="Q18" s="163">
        <f>IF(ISNUMBER(P18),('Prices &amp; Rates'!$C$4/100)/(1-(1+'Prices &amp; Rates'!$C$4/100)^(-P18)),"")</f>
        <v>0.13387878003966064</v>
      </c>
    </row>
    <row r="19" spans="1:17" ht="12">
      <c r="A19" s="40" t="s">
        <v>37</v>
      </c>
      <c r="B19" s="9"/>
      <c r="C19" s="155">
        <v>80</v>
      </c>
      <c r="D19" s="42">
        <v>5</v>
      </c>
      <c r="E19" s="157">
        <v>12</v>
      </c>
      <c r="F19" s="16"/>
      <c r="G19" s="157">
        <v>2500</v>
      </c>
      <c r="H19" s="6">
        <f t="shared" si="0"/>
        <v>1000</v>
      </c>
      <c r="I19" s="157">
        <v>80</v>
      </c>
      <c r="J19" s="9">
        <v>21000</v>
      </c>
      <c r="K19" s="160">
        <f t="shared" si="1"/>
        <v>4200</v>
      </c>
      <c r="L19" s="24">
        <v>1</v>
      </c>
      <c r="M19" s="162">
        <v>0.18</v>
      </c>
      <c r="N19" s="41">
        <v>1.6</v>
      </c>
      <c r="O19" s="163">
        <f t="shared" si="2"/>
        <v>31.25</v>
      </c>
      <c r="P19" s="5">
        <f t="shared" si="3"/>
        <v>20</v>
      </c>
      <c r="Q19" s="163">
        <f>IF(ISNUMBER(P19),('Prices &amp; Rates'!$C$4/100)/(1-(1+'Prices &amp; Rates'!$C$4/100)^(-P19)),"")</f>
        <v>0.13387878003966064</v>
      </c>
    </row>
    <row r="20" spans="1:17" ht="12">
      <c r="A20" s="40" t="s">
        <v>38</v>
      </c>
      <c r="B20" s="9"/>
      <c r="C20" s="155">
        <v>80</v>
      </c>
      <c r="D20" s="42">
        <v>6</v>
      </c>
      <c r="E20" s="157">
        <v>9</v>
      </c>
      <c r="F20" s="16"/>
      <c r="G20" s="157">
        <v>2000</v>
      </c>
      <c r="H20" s="6">
        <f t="shared" si="0"/>
        <v>800</v>
      </c>
      <c r="I20" s="157">
        <v>200</v>
      </c>
      <c r="J20" s="9">
        <v>3800</v>
      </c>
      <c r="K20" s="160">
        <f t="shared" si="1"/>
        <v>760</v>
      </c>
      <c r="L20" s="24">
        <v>1</v>
      </c>
      <c r="M20" s="162">
        <v>0.17</v>
      </c>
      <c r="N20" s="41">
        <v>1.4</v>
      </c>
      <c r="O20" s="163">
        <f t="shared" si="2"/>
        <v>10</v>
      </c>
      <c r="P20" s="5">
        <f t="shared" si="3"/>
        <v>10</v>
      </c>
      <c r="Q20" s="163">
        <f>IF(ISNUMBER(P20),('Prices &amp; Rates'!$C$4/100)/(1-(1+'Prices &amp; Rates'!$C$4/100)^(-P20)),"")</f>
        <v>0.17698416415984403</v>
      </c>
    </row>
    <row r="21" spans="1:17" ht="12">
      <c r="A21" s="40" t="s">
        <v>94</v>
      </c>
      <c r="B21" s="9">
        <v>120</v>
      </c>
      <c r="C21" s="155">
        <v>80</v>
      </c>
      <c r="D21" s="42">
        <v>5</v>
      </c>
      <c r="E21" s="157">
        <v>15</v>
      </c>
      <c r="F21" s="16"/>
      <c r="G21" s="157">
        <v>4000</v>
      </c>
      <c r="H21" s="6">
        <f t="shared" si="0"/>
        <v>1600</v>
      </c>
      <c r="I21" s="157">
        <v>80</v>
      </c>
      <c r="J21" s="9">
        <v>46500</v>
      </c>
      <c r="K21" s="160">
        <f t="shared" si="1"/>
        <v>9300</v>
      </c>
      <c r="L21" s="24">
        <v>1</v>
      </c>
      <c r="M21" s="162">
        <v>0.18</v>
      </c>
      <c r="N21" s="41">
        <v>1.6</v>
      </c>
      <c r="O21" s="163">
        <f t="shared" si="2"/>
        <v>50</v>
      </c>
      <c r="P21" s="5">
        <f t="shared" si="3"/>
        <v>20</v>
      </c>
      <c r="Q21" s="163">
        <f>IF(ISNUMBER(P21),('Prices &amp; Rates'!$C$4/100)/(1-(1+'Prices &amp; Rates'!$C$4/100)^(-P21)),"")</f>
        <v>0.13387878003966064</v>
      </c>
    </row>
    <row r="22" spans="1:17" ht="12">
      <c r="A22" s="40" t="s">
        <v>39</v>
      </c>
      <c r="B22" s="9">
        <v>120</v>
      </c>
      <c r="C22" s="155">
        <v>80</v>
      </c>
      <c r="D22" s="42">
        <v>3.5</v>
      </c>
      <c r="E22" s="157">
        <v>15</v>
      </c>
      <c r="F22" s="16" t="s">
        <v>20</v>
      </c>
      <c r="G22" s="157">
        <v>2000</v>
      </c>
      <c r="H22" s="6">
        <f t="shared" si="0"/>
        <v>800</v>
      </c>
      <c r="I22" s="157">
        <v>100</v>
      </c>
      <c r="J22" s="9">
        <v>44000</v>
      </c>
      <c r="K22" s="160">
        <f t="shared" si="1"/>
        <v>8800</v>
      </c>
      <c r="L22" s="24">
        <v>1</v>
      </c>
      <c r="M22" s="162">
        <v>0.06</v>
      </c>
      <c r="N22" s="41">
        <v>2</v>
      </c>
      <c r="O22" s="163">
        <f>IF(AND(ISNUMBER(G22),ISNUMBER(I22)),G22/I22,"")</f>
        <v>20</v>
      </c>
      <c r="P22" s="5">
        <f t="shared" si="3"/>
        <v>20</v>
      </c>
      <c r="Q22" s="163">
        <f>IF(ISNUMBER(P22),('Prices &amp; Rates'!$C$4/100)/(1-(1+'Prices &amp; Rates'!$C$4/100)^(-P22)),"")</f>
        <v>0.13387878003966064</v>
      </c>
    </row>
    <row r="23" spans="1:45" s="173" customFormat="1" ht="12">
      <c r="A23" s="40"/>
      <c r="B23" s="9"/>
      <c r="C23" s="155"/>
      <c r="D23" s="42"/>
      <c r="E23" s="157"/>
      <c r="F23" s="16"/>
      <c r="G23" s="157"/>
      <c r="H23" s="6">
        <f t="shared" si="0"/>
      </c>
      <c r="I23" s="157"/>
      <c r="J23" s="9"/>
      <c r="K23" s="160">
        <f t="shared" si="1"/>
      </c>
      <c r="L23" s="24"/>
      <c r="M23" s="162"/>
      <c r="N23" s="41"/>
      <c r="O23" s="163">
        <f t="shared" si="2"/>
      </c>
      <c r="P23" s="5">
        <f t="shared" si="3"/>
      </c>
      <c r="Q23" s="163">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3" customFormat="1" ht="12.75">
      <c r="A24" s="34" t="s">
        <v>40</v>
      </c>
      <c r="B24" s="9"/>
      <c r="C24" s="155"/>
      <c r="D24" s="42"/>
      <c r="E24" s="157"/>
      <c r="F24" s="16"/>
      <c r="G24" s="157"/>
      <c r="H24" s="6">
        <f t="shared" si="0"/>
      </c>
      <c r="I24" s="157"/>
      <c r="J24" s="9"/>
      <c r="K24" s="160">
        <f t="shared" si="1"/>
      </c>
      <c r="L24" s="24"/>
      <c r="M24" s="162"/>
      <c r="N24" s="41"/>
      <c r="O24" s="163">
        <f t="shared" si="2"/>
      </c>
      <c r="P24" s="5">
        <f t="shared" si="3"/>
      </c>
      <c r="Q24" s="163">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41</v>
      </c>
      <c r="B25" s="9"/>
      <c r="C25" s="155">
        <v>85</v>
      </c>
      <c r="D25" s="42">
        <v>5.5</v>
      </c>
      <c r="E25" s="157">
        <v>8</v>
      </c>
      <c r="F25" s="16"/>
      <c r="G25" s="157">
        <v>2000</v>
      </c>
      <c r="H25" s="6">
        <f t="shared" si="0"/>
        <v>800</v>
      </c>
      <c r="I25" s="157">
        <v>100</v>
      </c>
      <c r="J25" s="9">
        <v>8800</v>
      </c>
      <c r="K25" s="160">
        <f t="shared" si="1"/>
        <v>1760</v>
      </c>
      <c r="L25" s="24">
        <v>1</v>
      </c>
      <c r="M25" s="162">
        <v>0.18</v>
      </c>
      <c r="N25" s="41">
        <v>1.7</v>
      </c>
      <c r="O25" s="163">
        <f t="shared" si="2"/>
        <v>20</v>
      </c>
      <c r="P25" s="5">
        <f t="shared" si="3"/>
        <v>20</v>
      </c>
      <c r="Q25" s="163">
        <f>IF(ISNUMBER(P25),('Prices &amp; Rates'!$C$4/100)/(1-(1+'Prices &amp; Rates'!$C$4/100)^(-P25)),"")</f>
        <v>0.13387878003966064</v>
      </c>
    </row>
    <row r="26" spans="1:17" ht="12">
      <c r="A26" s="40" t="s">
        <v>42</v>
      </c>
      <c r="B26" s="9"/>
      <c r="C26" s="155">
        <v>85</v>
      </c>
      <c r="D26" s="42">
        <v>5</v>
      </c>
      <c r="E26" s="157">
        <v>28</v>
      </c>
      <c r="F26" s="16"/>
      <c r="G26" s="157">
        <v>2000</v>
      </c>
      <c r="H26" s="6">
        <f t="shared" si="0"/>
        <v>800</v>
      </c>
      <c r="I26" s="157">
        <v>120</v>
      </c>
      <c r="J26" s="9">
        <v>11300</v>
      </c>
      <c r="K26" s="160">
        <f t="shared" si="1"/>
        <v>2260</v>
      </c>
      <c r="L26" s="24">
        <v>1</v>
      </c>
      <c r="M26" s="162">
        <v>0.27</v>
      </c>
      <c r="N26" s="41">
        <v>1.4</v>
      </c>
      <c r="O26" s="163">
        <f t="shared" si="2"/>
        <v>16.666666666666668</v>
      </c>
      <c r="P26" s="5">
        <f t="shared" si="3"/>
        <v>16.666666666666668</v>
      </c>
      <c r="Q26" s="163">
        <f>IF(ISNUMBER(P26),('Prices &amp; Rates'!$C$4/100)/(1-(1+'Prices &amp; Rates'!$C$4/100)^(-P26)),"")</f>
        <v>0.14138463472067245</v>
      </c>
    </row>
    <row r="27" spans="1:17" ht="12">
      <c r="A27" s="40" t="s">
        <v>43</v>
      </c>
      <c r="B27" s="9"/>
      <c r="C27" s="155">
        <v>85</v>
      </c>
      <c r="D27" s="42">
        <v>7</v>
      </c>
      <c r="E27" s="157">
        <v>30</v>
      </c>
      <c r="F27" s="16"/>
      <c r="G27" s="157">
        <v>2000</v>
      </c>
      <c r="H27" s="6">
        <f t="shared" si="0"/>
        <v>800</v>
      </c>
      <c r="I27" s="157">
        <v>30</v>
      </c>
      <c r="J27" s="9">
        <v>6900</v>
      </c>
      <c r="K27" s="160">
        <f t="shared" si="1"/>
        <v>1380</v>
      </c>
      <c r="L27" s="24">
        <v>1</v>
      </c>
      <c r="M27" s="162">
        <v>0.27</v>
      </c>
      <c r="N27" s="41">
        <v>1.4</v>
      </c>
      <c r="O27" s="163">
        <f t="shared" si="2"/>
        <v>66.66666666666667</v>
      </c>
      <c r="P27" s="5">
        <f t="shared" si="3"/>
        <v>20</v>
      </c>
      <c r="Q27" s="163">
        <f>IF(ISNUMBER(P27),('Prices &amp; Rates'!$C$4/100)/(1-(1+'Prices &amp; Rates'!$C$4/100)^(-P27)),"")</f>
        <v>0.13387878003966064</v>
      </c>
    </row>
    <row r="28" spans="1:17" ht="12">
      <c r="A28" s="40" t="s">
        <v>44</v>
      </c>
      <c r="B28" s="9"/>
      <c r="C28" s="155">
        <v>85</v>
      </c>
      <c r="D28" s="42">
        <v>6.5</v>
      </c>
      <c r="E28" s="157">
        <v>15</v>
      </c>
      <c r="F28" s="16"/>
      <c r="G28" s="157">
        <v>2000</v>
      </c>
      <c r="H28" s="6">
        <f t="shared" si="0"/>
        <v>800</v>
      </c>
      <c r="I28" s="157">
        <v>100</v>
      </c>
      <c r="J28" s="9">
        <v>5500</v>
      </c>
      <c r="K28" s="160">
        <f t="shared" si="1"/>
        <v>1100</v>
      </c>
      <c r="L28" s="24">
        <v>1</v>
      </c>
      <c r="M28" s="162">
        <v>0.28</v>
      </c>
      <c r="N28" s="41">
        <v>1.4</v>
      </c>
      <c r="O28" s="163">
        <f t="shared" si="2"/>
        <v>20</v>
      </c>
      <c r="P28" s="5">
        <f t="shared" si="3"/>
        <v>20</v>
      </c>
      <c r="Q28" s="163">
        <f>IF(ISNUMBER(P28),('Prices &amp; Rates'!$C$4/100)/(1-(1+'Prices &amp; Rates'!$C$4/100)^(-P28)),"")</f>
        <v>0.13387878003966064</v>
      </c>
    </row>
    <row r="29" spans="1:17" ht="12">
      <c r="A29" s="40" t="s">
        <v>45</v>
      </c>
      <c r="B29" s="9"/>
      <c r="C29" s="155">
        <v>85</v>
      </c>
      <c r="D29" s="42">
        <v>3.5</v>
      </c>
      <c r="E29" s="157">
        <v>12</v>
      </c>
      <c r="F29" s="16"/>
      <c r="G29" s="157">
        <v>2000</v>
      </c>
      <c r="H29" s="6">
        <f t="shared" si="0"/>
        <v>800</v>
      </c>
      <c r="I29" s="157">
        <v>120</v>
      </c>
      <c r="J29" s="9">
        <v>10600</v>
      </c>
      <c r="K29" s="160">
        <f t="shared" si="1"/>
        <v>2120</v>
      </c>
      <c r="L29" s="24">
        <v>1</v>
      </c>
      <c r="M29" s="162">
        <v>0.29</v>
      </c>
      <c r="N29" s="41">
        <v>1.8</v>
      </c>
      <c r="O29" s="163">
        <f t="shared" si="2"/>
        <v>16.666666666666668</v>
      </c>
      <c r="P29" s="5">
        <f t="shared" si="3"/>
        <v>16.666666666666668</v>
      </c>
      <c r="Q29" s="163">
        <f>IF(ISNUMBER(P29),('Prices &amp; Rates'!$C$4/100)/(1-(1+'Prices &amp; Rates'!$C$4/100)^(-P29)),"")</f>
        <v>0.14138463472067245</v>
      </c>
    </row>
    <row r="30" spans="1:17" ht="12">
      <c r="A30" s="40" t="s">
        <v>46</v>
      </c>
      <c r="B30" s="9"/>
      <c r="C30" s="155">
        <v>85</v>
      </c>
      <c r="D30" s="42">
        <v>6</v>
      </c>
      <c r="E30" s="157">
        <v>12</v>
      </c>
      <c r="F30" s="16"/>
      <c r="G30" s="157">
        <v>2000</v>
      </c>
      <c r="H30" s="6">
        <f t="shared" si="0"/>
        <v>800</v>
      </c>
      <c r="I30" s="157">
        <v>120</v>
      </c>
      <c r="J30" s="9">
        <v>11000</v>
      </c>
      <c r="K30" s="160">
        <f t="shared" si="1"/>
        <v>2200</v>
      </c>
      <c r="L30" s="24">
        <v>1</v>
      </c>
      <c r="M30" s="162">
        <v>0.16</v>
      </c>
      <c r="N30" s="41">
        <v>1.3</v>
      </c>
      <c r="O30" s="163">
        <f t="shared" si="2"/>
        <v>16.666666666666668</v>
      </c>
      <c r="P30" s="5">
        <f t="shared" si="3"/>
        <v>16.666666666666668</v>
      </c>
      <c r="Q30" s="163">
        <f>IF(ISNUMBER(P30),('Prices &amp; Rates'!$C$4/100)/(1-(1+'Prices &amp; Rates'!$C$4/100)^(-P30)),"")</f>
        <v>0.14138463472067245</v>
      </c>
    </row>
    <row r="31" spans="1:17" ht="12">
      <c r="A31" s="40" t="s">
        <v>47</v>
      </c>
      <c r="B31" s="9"/>
      <c r="C31" s="155">
        <v>85</v>
      </c>
      <c r="D31" s="42">
        <v>3</v>
      </c>
      <c r="E31" s="157">
        <v>12</v>
      </c>
      <c r="F31" s="16"/>
      <c r="G31" s="157">
        <v>1500</v>
      </c>
      <c r="H31" s="6">
        <f t="shared" si="0"/>
        <v>600</v>
      </c>
      <c r="I31" s="157">
        <v>120</v>
      </c>
      <c r="J31" s="9">
        <v>10000</v>
      </c>
      <c r="K31" s="160">
        <f t="shared" si="1"/>
        <v>2000</v>
      </c>
      <c r="L31" s="24">
        <v>1</v>
      </c>
      <c r="M31" s="162">
        <v>0.36</v>
      </c>
      <c r="N31" s="41">
        <v>2</v>
      </c>
      <c r="O31" s="163">
        <f t="shared" si="2"/>
        <v>12.5</v>
      </c>
      <c r="P31" s="5">
        <f t="shared" si="3"/>
        <v>12.5</v>
      </c>
      <c r="Q31" s="163">
        <f>IF(ISNUMBER(P31),('Prices &amp; Rates'!$C$4/100)/(1-(1+'Prices &amp; Rates'!$C$4/100)^(-P31)),"")</f>
        <v>0.15842319610115554</v>
      </c>
    </row>
    <row r="32" spans="1:17" ht="12">
      <c r="A32" s="40" t="s">
        <v>48</v>
      </c>
      <c r="B32" s="9"/>
      <c r="C32" s="155">
        <v>80</v>
      </c>
      <c r="D32" s="42">
        <v>4</v>
      </c>
      <c r="E32" s="158">
        <v>16</v>
      </c>
      <c r="F32" s="16"/>
      <c r="G32" s="157">
        <v>2000</v>
      </c>
      <c r="H32" s="6">
        <f t="shared" si="0"/>
        <v>800</v>
      </c>
      <c r="I32" s="157">
        <v>100</v>
      </c>
      <c r="J32" s="9">
        <v>5900</v>
      </c>
      <c r="K32" s="160">
        <f t="shared" si="1"/>
        <v>1180</v>
      </c>
      <c r="L32" s="24">
        <v>1</v>
      </c>
      <c r="M32" s="162">
        <v>0.17</v>
      </c>
      <c r="N32" s="41">
        <v>2.2</v>
      </c>
      <c r="O32" s="163">
        <f t="shared" si="2"/>
        <v>20</v>
      </c>
      <c r="P32" s="5">
        <f t="shared" si="3"/>
        <v>20</v>
      </c>
      <c r="Q32" s="163">
        <f>IF(ISNUMBER(P32),('Prices &amp; Rates'!$C$4/100)/(1-(1+'Prices &amp; Rates'!$C$4/100)^(-P32)),"")</f>
        <v>0.13387878003966064</v>
      </c>
    </row>
    <row r="33" spans="1:45" s="173" customFormat="1" ht="12">
      <c r="A33" s="40"/>
      <c r="B33" s="9"/>
      <c r="C33" s="155"/>
      <c r="D33" s="41"/>
      <c r="E33" s="157"/>
      <c r="F33" s="16"/>
      <c r="G33" s="157"/>
      <c r="H33" s="6">
        <f t="shared" si="0"/>
      </c>
      <c r="I33" s="157"/>
      <c r="J33" s="9"/>
      <c r="K33" s="160">
        <f t="shared" si="1"/>
      </c>
      <c r="L33" s="24"/>
      <c r="M33" s="162"/>
      <c r="N33" s="41"/>
      <c r="O33" s="163">
        <f t="shared" si="2"/>
      </c>
      <c r="P33" s="5">
        <f t="shared" si="3"/>
      </c>
      <c r="Q33" s="163">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3" customFormat="1" ht="12.75">
      <c r="A34" s="34" t="s">
        <v>49</v>
      </c>
      <c r="B34" s="9"/>
      <c r="C34" s="155"/>
      <c r="D34" s="41"/>
      <c r="E34" s="157"/>
      <c r="F34" s="16"/>
      <c r="G34" s="157"/>
      <c r="H34" s="6">
        <f t="shared" si="0"/>
      </c>
      <c r="I34" s="157"/>
      <c r="J34" s="9"/>
      <c r="K34" s="160">
        <f t="shared" si="1"/>
      </c>
      <c r="L34" s="24"/>
      <c r="M34" s="162"/>
      <c r="N34" s="41"/>
      <c r="O34" s="163">
        <f t="shared" si="2"/>
      </c>
      <c r="P34" s="5">
        <f t="shared" si="3"/>
      </c>
      <c r="Q34" s="163">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50</v>
      </c>
      <c r="B35" s="9"/>
      <c r="C35" s="155">
        <v>70</v>
      </c>
      <c r="D35" s="42">
        <v>5</v>
      </c>
      <c r="E35" s="157">
        <v>30</v>
      </c>
      <c r="F35" s="16"/>
      <c r="G35" s="157">
        <v>1500</v>
      </c>
      <c r="H35" s="6">
        <f t="shared" si="0"/>
        <v>600</v>
      </c>
      <c r="I35" s="157">
        <v>80</v>
      </c>
      <c r="J35" s="9">
        <v>29900</v>
      </c>
      <c r="K35" s="160">
        <f t="shared" si="1"/>
        <v>5980</v>
      </c>
      <c r="L35" s="24">
        <v>1</v>
      </c>
      <c r="M35" s="162">
        <v>0.32</v>
      </c>
      <c r="N35" s="41">
        <v>2.1</v>
      </c>
      <c r="O35" s="163">
        <f t="shared" si="2"/>
        <v>18.75</v>
      </c>
      <c r="P35" s="5">
        <f t="shared" si="3"/>
        <v>18.75</v>
      </c>
      <c r="Q35" s="163">
        <f>IF(ISNUMBER(P35),('Prices &amp; Rates'!$C$4/100)/(1-(1+'Prices &amp; Rates'!$C$4/100)^(-P35)),"")</f>
        <v>0.1362774373788252</v>
      </c>
    </row>
    <row r="36" spans="1:17" ht="12">
      <c r="A36" s="40" t="s">
        <v>51</v>
      </c>
      <c r="B36" s="9"/>
      <c r="C36" s="155">
        <v>65</v>
      </c>
      <c r="D36" s="42">
        <v>5.5</v>
      </c>
      <c r="E36" s="159">
        <v>16</v>
      </c>
      <c r="F36" s="16"/>
      <c r="G36" s="157">
        <v>1500</v>
      </c>
      <c r="H36" s="6">
        <f t="shared" si="0"/>
        <v>600</v>
      </c>
      <c r="I36" s="157">
        <v>70</v>
      </c>
      <c r="J36" s="9">
        <v>19000</v>
      </c>
      <c r="K36" s="160">
        <f t="shared" si="1"/>
        <v>3800</v>
      </c>
      <c r="L36" s="24">
        <v>1</v>
      </c>
      <c r="M36" s="162">
        <v>0.32</v>
      </c>
      <c r="N36" s="41">
        <v>2.1</v>
      </c>
      <c r="O36" s="163">
        <f t="shared" si="2"/>
        <v>21.428571428571427</v>
      </c>
      <c r="P36" s="5">
        <f t="shared" si="3"/>
        <v>20</v>
      </c>
      <c r="Q36" s="163">
        <f>IF(ISNUMBER(P36),('Prices &amp; Rates'!$C$4/100)/(1-(1+'Prices &amp; Rates'!$C$4/100)^(-P36)),"")</f>
        <v>0.13387878003966064</v>
      </c>
    </row>
    <row r="37" spans="1:45" s="173" customFormat="1" ht="12">
      <c r="A37" s="40"/>
      <c r="B37" s="9"/>
      <c r="C37" s="155"/>
      <c r="D37" s="42"/>
      <c r="E37" s="157"/>
      <c r="F37" s="16"/>
      <c r="G37" s="157"/>
      <c r="H37" s="6">
        <f t="shared" si="0"/>
      </c>
      <c r="I37" s="157"/>
      <c r="J37" s="9"/>
      <c r="K37" s="160">
        <f t="shared" si="1"/>
      </c>
      <c r="L37" s="24">
        <v>1</v>
      </c>
      <c r="M37" s="162"/>
      <c r="N37" s="41"/>
      <c r="O37" s="163">
        <f t="shared" si="2"/>
      </c>
      <c r="P37" s="5">
        <f t="shared" si="3"/>
      </c>
      <c r="Q37" s="163">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3" customFormat="1" ht="12.75">
      <c r="A38" s="34" t="s">
        <v>52</v>
      </c>
      <c r="B38" s="9"/>
      <c r="C38" s="155"/>
      <c r="D38" s="42"/>
      <c r="E38" s="157"/>
      <c r="F38" s="16"/>
      <c r="G38" s="157"/>
      <c r="H38" s="6">
        <f t="shared" si="0"/>
      </c>
      <c r="I38" s="157"/>
      <c r="J38" s="9"/>
      <c r="K38" s="160">
        <f t="shared" si="1"/>
      </c>
      <c r="L38" s="24">
        <v>1</v>
      </c>
      <c r="M38" s="162"/>
      <c r="N38" s="41"/>
      <c r="O38" s="163">
        <f t="shared" si="2"/>
      </c>
      <c r="P38" s="5">
        <f t="shared" si="3"/>
      </c>
      <c r="Q38" s="163">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53</v>
      </c>
      <c r="B39" s="9"/>
      <c r="C39" s="155">
        <v>70</v>
      </c>
      <c r="D39" s="42">
        <v>7</v>
      </c>
      <c r="E39" s="157">
        <v>40</v>
      </c>
      <c r="F39" s="16"/>
      <c r="G39" s="157">
        <v>1200</v>
      </c>
      <c r="H39" s="6">
        <f t="shared" si="0"/>
        <v>480</v>
      </c>
      <c r="I39" s="157">
        <v>30</v>
      </c>
      <c r="J39" s="9">
        <v>8000</v>
      </c>
      <c r="K39" s="160">
        <f t="shared" si="1"/>
        <v>1600</v>
      </c>
      <c r="L39" s="24">
        <v>1</v>
      </c>
      <c r="M39" s="162">
        <v>0.63</v>
      </c>
      <c r="N39" s="41">
        <v>1.3</v>
      </c>
      <c r="O39" s="163">
        <f t="shared" si="2"/>
        <v>40</v>
      </c>
      <c r="P39" s="5">
        <f t="shared" si="3"/>
        <v>20</v>
      </c>
      <c r="Q39" s="163">
        <f>IF(ISNUMBER(P39),('Prices &amp; Rates'!$C$4/100)/(1-(1+'Prices &amp; Rates'!$C$4/100)^(-P39)),"")</f>
        <v>0.13387878003966064</v>
      </c>
    </row>
    <row r="40" spans="1:17" ht="12">
      <c r="A40" s="40" t="s">
        <v>54</v>
      </c>
      <c r="B40" s="9"/>
      <c r="C40" s="155">
        <v>90</v>
      </c>
      <c r="D40" s="42">
        <v>4</v>
      </c>
      <c r="E40" s="157">
        <v>8</v>
      </c>
      <c r="F40" s="16"/>
      <c r="G40" s="157">
        <v>1200</v>
      </c>
      <c r="H40" s="6">
        <f t="shared" si="0"/>
        <v>480</v>
      </c>
      <c r="I40" s="157">
        <v>100</v>
      </c>
      <c r="J40" s="9">
        <v>5600</v>
      </c>
      <c r="K40" s="160">
        <f t="shared" si="1"/>
        <v>1120</v>
      </c>
      <c r="L40" s="24">
        <v>1</v>
      </c>
      <c r="M40" s="162">
        <v>0.16</v>
      </c>
      <c r="N40" s="41">
        <v>2</v>
      </c>
      <c r="O40" s="163">
        <f t="shared" si="2"/>
        <v>12</v>
      </c>
      <c r="P40" s="5">
        <f t="shared" si="3"/>
        <v>12</v>
      </c>
      <c r="Q40" s="163">
        <f>IF(ISNUMBER(P40),('Prices &amp; Rates'!$C$4/100)/(1-(1+'Prices &amp; Rates'!$C$4/100)^(-P40)),"")</f>
        <v>0.16143680759399573</v>
      </c>
    </row>
    <row r="41" spans="1:17" ht="12">
      <c r="A41" s="40" t="s">
        <v>56</v>
      </c>
      <c r="B41" s="9"/>
      <c r="C41" s="155">
        <v>60</v>
      </c>
      <c r="D41" s="42">
        <v>3</v>
      </c>
      <c r="E41" s="157">
        <v>24</v>
      </c>
      <c r="F41" s="16"/>
      <c r="G41" s="157">
        <v>2000</v>
      </c>
      <c r="H41" s="6">
        <f t="shared" si="0"/>
        <v>800</v>
      </c>
      <c r="I41" s="157">
        <v>120</v>
      </c>
      <c r="J41" s="9">
        <v>10000</v>
      </c>
      <c r="K41" s="160">
        <f t="shared" si="1"/>
        <v>2000</v>
      </c>
      <c r="L41" s="24">
        <v>1</v>
      </c>
      <c r="M41" s="162">
        <v>0.14</v>
      </c>
      <c r="N41" s="41">
        <v>2.3</v>
      </c>
      <c r="O41" s="163">
        <f t="shared" si="2"/>
        <v>16.666666666666668</v>
      </c>
      <c r="P41" s="5">
        <f t="shared" si="3"/>
        <v>16.666666666666668</v>
      </c>
      <c r="Q41" s="163">
        <f>IF(ISNUMBER(P41),('Prices &amp; Rates'!$C$4/100)/(1-(1+'Prices &amp; Rates'!$C$4/100)^(-P41)),"")</f>
        <v>0.14138463472067245</v>
      </c>
    </row>
    <row r="42" spans="1:17" ht="12">
      <c r="A42" s="40" t="s">
        <v>93</v>
      </c>
      <c r="B42" s="9"/>
      <c r="C42" s="155">
        <v>65</v>
      </c>
      <c r="D42" s="42">
        <v>6.5</v>
      </c>
      <c r="E42" s="157">
        <v>50</v>
      </c>
      <c r="F42" s="16"/>
      <c r="G42" s="157">
        <v>1500</v>
      </c>
      <c r="H42" s="6">
        <f t="shared" si="0"/>
        <v>600</v>
      </c>
      <c r="I42" s="157">
        <v>100</v>
      </c>
      <c r="J42" s="9">
        <v>4700</v>
      </c>
      <c r="K42" s="160">
        <f t="shared" si="1"/>
        <v>940</v>
      </c>
      <c r="L42" s="24">
        <v>1</v>
      </c>
      <c r="M42" s="162">
        <v>0.41</v>
      </c>
      <c r="N42" s="41">
        <v>1.3</v>
      </c>
      <c r="O42" s="163">
        <f t="shared" si="2"/>
        <v>15</v>
      </c>
      <c r="P42" s="5">
        <f t="shared" si="3"/>
        <v>15</v>
      </c>
      <c r="Q42" s="163">
        <f>IF(ISNUMBER(P42),('Prices &amp; Rates'!$C$4/100)/(1-(1+'Prices &amp; Rates'!$C$4/100)^(-P42)),"")</f>
        <v>0.14682423964634628</v>
      </c>
    </row>
    <row r="43" spans="1:17" ht="12">
      <c r="A43" s="40"/>
      <c r="B43" s="9"/>
      <c r="C43" s="155"/>
      <c r="D43" s="41"/>
      <c r="E43" s="157"/>
      <c r="F43" s="16"/>
      <c r="G43" s="157"/>
      <c r="H43" s="6">
        <f t="shared" si="0"/>
      </c>
      <c r="I43" s="157"/>
      <c r="J43" s="9"/>
      <c r="K43" s="160">
        <f t="shared" si="1"/>
      </c>
      <c r="L43" s="24"/>
      <c r="M43" s="162"/>
      <c r="N43" s="41"/>
      <c r="O43" s="163">
        <f aca="true" t="shared" si="4" ref="O43:O99">IF(AND(ISNUMBER(G43),ISNUMBER(I43)),G43/I43,"")</f>
      </c>
      <c r="P43" s="5">
        <f t="shared" si="3"/>
      </c>
      <c r="Q43" s="163">
        <f>IF(ISNUMBER(P43),('Prices &amp; Rates'!$C$4/100)/(1-(1+'Prices &amp; Rates'!$C$4/100)^(-P43)),"")</f>
      </c>
    </row>
    <row r="44" spans="1:17" ht="12">
      <c r="A44" s="40"/>
      <c r="B44" s="9"/>
      <c r="C44" s="155"/>
      <c r="D44" s="41"/>
      <c r="E44" s="157"/>
      <c r="F44" s="16"/>
      <c r="G44" s="157"/>
      <c r="H44" s="6">
        <f t="shared" si="0"/>
      </c>
      <c r="I44" s="157"/>
      <c r="J44" s="9"/>
      <c r="K44" s="160">
        <f t="shared" si="1"/>
      </c>
      <c r="L44" s="24"/>
      <c r="M44" s="162"/>
      <c r="N44" s="41"/>
      <c r="O44" s="163">
        <f t="shared" si="4"/>
      </c>
      <c r="P44" s="5">
        <f t="shared" si="3"/>
      </c>
      <c r="Q44" s="163">
        <f>IF(ISNUMBER(P44),('Prices &amp; Rates'!$C$4/100)/(1-(1+'Prices &amp; Rates'!$C$4/100)^(-P44)),"")</f>
      </c>
    </row>
    <row r="45" spans="1:17" ht="12">
      <c r="A45" s="40"/>
      <c r="B45" s="9"/>
      <c r="C45" s="155"/>
      <c r="D45" s="41"/>
      <c r="E45" s="157"/>
      <c r="F45" s="16"/>
      <c r="G45" s="157"/>
      <c r="H45" s="6">
        <f t="shared" si="0"/>
      </c>
      <c r="I45" s="157"/>
      <c r="J45" s="9"/>
      <c r="K45" s="160">
        <f t="shared" si="1"/>
      </c>
      <c r="L45" s="24"/>
      <c r="M45" s="162"/>
      <c r="N45" s="41"/>
      <c r="O45" s="163">
        <f t="shared" si="4"/>
      </c>
      <c r="P45" s="5">
        <f t="shared" si="3"/>
      </c>
      <c r="Q45" s="163">
        <f>IF(ISNUMBER(P45),('Prices &amp; Rates'!$C$4/100)/(1-(1+'Prices &amp; Rates'!$C$4/100)^(-P45)),"")</f>
      </c>
    </row>
    <row r="46" spans="1:17" ht="12">
      <c r="A46" s="40"/>
      <c r="B46" s="9"/>
      <c r="C46" s="155"/>
      <c r="D46" s="41"/>
      <c r="E46" s="157"/>
      <c r="F46" s="16"/>
      <c r="G46" s="157"/>
      <c r="H46" s="6">
        <f t="shared" si="0"/>
      </c>
      <c r="I46" s="157"/>
      <c r="J46" s="9"/>
      <c r="K46" s="160">
        <f t="shared" si="1"/>
      </c>
      <c r="L46" s="24"/>
      <c r="M46" s="162"/>
      <c r="N46" s="41"/>
      <c r="O46" s="163">
        <f t="shared" si="4"/>
      </c>
      <c r="P46" s="5">
        <f t="shared" si="3"/>
      </c>
      <c r="Q46" s="163">
        <f>IF(ISNUMBER(P46),('Prices &amp; Rates'!$C$4/100)/(1-(1+'Prices &amp; Rates'!$C$4/100)^(-P46)),"")</f>
      </c>
    </row>
    <row r="47" spans="1:17" ht="12">
      <c r="A47" s="40"/>
      <c r="B47" s="9"/>
      <c r="C47" s="155"/>
      <c r="D47" s="41"/>
      <c r="E47" s="157"/>
      <c r="F47" s="16"/>
      <c r="G47" s="157"/>
      <c r="H47" s="6">
        <f t="shared" si="0"/>
      </c>
      <c r="I47" s="157"/>
      <c r="J47" s="9"/>
      <c r="K47" s="160">
        <f t="shared" si="1"/>
      </c>
      <c r="L47" s="24"/>
      <c r="M47" s="162"/>
      <c r="N47" s="41"/>
      <c r="O47" s="163">
        <f t="shared" si="4"/>
      </c>
      <c r="P47" s="5">
        <f t="shared" si="3"/>
      </c>
      <c r="Q47" s="163">
        <f>IF(ISNUMBER(P47),('Prices &amp; Rates'!$C$4/100)/(1-(1+'Prices &amp; Rates'!$C$4/100)^(-P47)),"")</f>
      </c>
    </row>
    <row r="48" spans="1:17" ht="12">
      <c r="A48" s="40"/>
      <c r="B48" s="9"/>
      <c r="C48" s="155"/>
      <c r="D48" s="41"/>
      <c r="E48" s="157"/>
      <c r="F48" s="16"/>
      <c r="G48" s="157"/>
      <c r="H48" s="6">
        <f t="shared" si="0"/>
      </c>
      <c r="I48" s="157"/>
      <c r="J48" s="9"/>
      <c r="K48" s="160">
        <f t="shared" si="1"/>
      </c>
      <c r="L48" s="24"/>
      <c r="M48" s="162"/>
      <c r="N48" s="41"/>
      <c r="O48" s="163">
        <f t="shared" si="4"/>
      </c>
      <c r="P48" s="5">
        <f t="shared" si="3"/>
      </c>
      <c r="Q48" s="163">
        <f>IF(ISNUMBER(P48),('Prices &amp; Rates'!$C$4/100)/(1-(1+'Prices &amp; Rates'!$C$4/100)^(-P48)),"")</f>
      </c>
    </row>
    <row r="49" spans="1:45" s="173" customFormat="1" ht="12">
      <c r="A49" s="40"/>
      <c r="B49" s="9"/>
      <c r="C49" s="155"/>
      <c r="D49" s="41"/>
      <c r="E49" s="157"/>
      <c r="F49" s="16"/>
      <c r="G49" s="157"/>
      <c r="H49" s="6">
        <f t="shared" si="0"/>
      </c>
      <c r="I49" s="157"/>
      <c r="J49" s="9"/>
      <c r="K49" s="160">
        <f t="shared" si="1"/>
      </c>
      <c r="L49" s="24"/>
      <c r="M49" s="162"/>
      <c r="N49" s="41"/>
      <c r="O49" s="163">
        <f t="shared" si="4"/>
      </c>
      <c r="P49" s="5">
        <f t="shared" si="3"/>
      </c>
      <c r="Q49" s="163">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3" customFormat="1" ht="12">
      <c r="A50" s="40"/>
      <c r="B50" s="9"/>
      <c r="C50" s="155"/>
      <c r="D50" s="41"/>
      <c r="E50" s="157"/>
      <c r="F50" s="16"/>
      <c r="G50" s="157"/>
      <c r="H50" s="6">
        <f t="shared" si="0"/>
      </c>
      <c r="I50" s="157"/>
      <c r="J50" s="9"/>
      <c r="K50" s="160">
        <f t="shared" si="1"/>
      </c>
      <c r="L50" s="24"/>
      <c r="M50" s="162"/>
      <c r="N50" s="41"/>
      <c r="O50" s="163">
        <f t="shared" si="4"/>
      </c>
      <c r="P50" s="5">
        <f t="shared" si="3"/>
      </c>
      <c r="Q50" s="163">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3" customFormat="1" ht="12">
      <c r="A51" s="40"/>
      <c r="B51" s="9"/>
      <c r="C51" s="155"/>
      <c r="D51" s="41"/>
      <c r="E51" s="157"/>
      <c r="F51" s="16"/>
      <c r="G51" s="157"/>
      <c r="H51" s="6">
        <f t="shared" si="0"/>
      </c>
      <c r="I51" s="157"/>
      <c r="J51" s="9"/>
      <c r="K51" s="160">
        <f t="shared" si="1"/>
      </c>
      <c r="L51" s="24"/>
      <c r="M51" s="162"/>
      <c r="N51" s="41"/>
      <c r="O51" s="163">
        <f t="shared" si="4"/>
      </c>
      <c r="P51" s="5">
        <f t="shared" si="3"/>
      </c>
      <c r="Q51" s="163">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3" customFormat="1" ht="12">
      <c r="A52" s="40"/>
      <c r="B52" s="9"/>
      <c r="C52" s="155"/>
      <c r="D52" s="41"/>
      <c r="E52" s="157"/>
      <c r="F52" s="16"/>
      <c r="G52" s="157"/>
      <c r="H52" s="6">
        <f t="shared" si="0"/>
      </c>
      <c r="I52" s="157"/>
      <c r="J52" s="9"/>
      <c r="K52" s="160">
        <f t="shared" si="1"/>
      </c>
      <c r="L52" s="24"/>
      <c r="M52" s="162"/>
      <c r="N52" s="41"/>
      <c r="O52" s="163">
        <f t="shared" si="4"/>
      </c>
      <c r="P52" s="5">
        <f t="shared" si="3"/>
      </c>
      <c r="Q52" s="163">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3" customFormat="1" ht="12">
      <c r="A53" s="40"/>
      <c r="B53" s="9"/>
      <c r="C53" s="155"/>
      <c r="D53" s="41"/>
      <c r="E53" s="157"/>
      <c r="F53" s="16"/>
      <c r="G53" s="157"/>
      <c r="H53" s="6">
        <f t="shared" si="0"/>
      </c>
      <c r="I53" s="157"/>
      <c r="J53" s="9"/>
      <c r="K53" s="160">
        <f t="shared" si="1"/>
      </c>
      <c r="L53" s="24"/>
      <c r="M53" s="162"/>
      <c r="N53" s="41"/>
      <c r="O53" s="163">
        <f t="shared" si="4"/>
      </c>
      <c r="P53" s="5">
        <f t="shared" si="3"/>
      </c>
      <c r="Q53" s="163">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3" customFormat="1" ht="12">
      <c r="A54" s="40"/>
      <c r="B54" s="9"/>
      <c r="C54" s="155"/>
      <c r="D54" s="41"/>
      <c r="E54" s="157"/>
      <c r="F54" s="16"/>
      <c r="G54" s="157"/>
      <c r="H54" s="6">
        <f t="shared" si="0"/>
      </c>
      <c r="I54" s="157"/>
      <c r="J54" s="9"/>
      <c r="K54" s="160">
        <f t="shared" si="1"/>
      </c>
      <c r="L54" s="24"/>
      <c r="M54" s="162"/>
      <c r="N54" s="41"/>
      <c r="O54" s="163">
        <f t="shared" si="4"/>
      </c>
      <c r="P54" s="5">
        <f t="shared" si="3"/>
      </c>
      <c r="Q54" s="163">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3" customFormat="1" ht="12">
      <c r="A55" s="40"/>
      <c r="B55" s="9"/>
      <c r="C55" s="155"/>
      <c r="D55" s="41"/>
      <c r="E55" s="157"/>
      <c r="F55" s="16"/>
      <c r="G55" s="157"/>
      <c r="H55" s="6">
        <f t="shared" si="0"/>
      </c>
      <c r="I55" s="157"/>
      <c r="J55" s="9"/>
      <c r="K55" s="160">
        <f t="shared" si="1"/>
      </c>
      <c r="L55" s="24"/>
      <c r="M55" s="162"/>
      <c r="N55" s="41"/>
      <c r="O55" s="163">
        <f t="shared" si="4"/>
      </c>
      <c r="P55" s="5">
        <f t="shared" si="3"/>
      </c>
      <c r="Q55" s="163">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3" customFormat="1" ht="12">
      <c r="A56" s="40"/>
      <c r="B56" s="9"/>
      <c r="C56" s="155"/>
      <c r="D56" s="41"/>
      <c r="E56" s="157"/>
      <c r="F56" s="16"/>
      <c r="G56" s="157"/>
      <c r="H56" s="6">
        <f t="shared" si="0"/>
      </c>
      <c r="I56" s="157"/>
      <c r="J56" s="9"/>
      <c r="K56" s="160">
        <f t="shared" si="1"/>
      </c>
      <c r="L56" s="24"/>
      <c r="M56" s="162"/>
      <c r="N56" s="41"/>
      <c r="O56" s="163">
        <f t="shared" si="4"/>
      </c>
      <c r="P56" s="5">
        <f t="shared" si="3"/>
      </c>
      <c r="Q56" s="163">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3" customFormat="1" ht="12">
      <c r="A57" s="40"/>
      <c r="B57" s="9"/>
      <c r="C57" s="155"/>
      <c r="D57" s="41"/>
      <c r="E57" s="157"/>
      <c r="F57" s="16"/>
      <c r="G57" s="157"/>
      <c r="H57" s="6">
        <f t="shared" si="0"/>
      </c>
      <c r="I57" s="157"/>
      <c r="J57" s="9"/>
      <c r="K57" s="160">
        <f t="shared" si="1"/>
      </c>
      <c r="L57" s="24"/>
      <c r="M57" s="162"/>
      <c r="N57" s="41"/>
      <c r="O57" s="163">
        <f t="shared" si="4"/>
      </c>
      <c r="P57" s="5">
        <f t="shared" si="3"/>
      </c>
      <c r="Q57" s="163">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3" customFormat="1" ht="12">
      <c r="A58" s="40"/>
      <c r="B58" s="9"/>
      <c r="C58" s="155"/>
      <c r="D58" s="41"/>
      <c r="E58" s="157"/>
      <c r="F58" s="16"/>
      <c r="G58" s="157"/>
      <c r="H58" s="6">
        <f t="shared" si="0"/>
      </c>
      <c r="I58" s="157"/>
      <c r="J58" s="9"/>
      <c r="K58" s="160">
        <f t="shared" si="1"/>
      </c>
      <c r="L58" s="24"/>
      <c r="M58" s="162"/>
      <c r="N58" s="41"/>
      <c r="O58" s="163">
        <f t="shared" si="4"/>
      </c>
      <c r="P58" s="5">
        <f t="shared" si="3"/>
      </c>
      <c r="Q58" s="163">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3" customFormat="1" ht="12">
      <c r="A59" s="40"/>
      <c r="B59" s="9"/>
      <c r="C59" s="155"/>
      <c r="D59" s="41"/>
      <c r="E59" s="157"/>
      <c r="F59" s="16"/>
      <c r="G59" s="157"/>
      <c r="H59" s="6">
        <f t="shared" si="0"/>
      </c>
      <c r="I59" s="157"/>
      <c r="J59" s="9"/>
      <c r="K59" s="160">
        <f t="shared" si="1"/>
      </c>
      <c r="L59" s="24"/>
      <c r="M59" s="162"/>
      <c r="N59" s="41"/>
      <c r="O59" s="163">
        <f t="shared" si="4"/>
      </c>
      <c r="P59" s="5">
        <f t="shared" si="3"/>
      </c>
      <c r="Q59" s="163">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3" customFormat="1" ht="12">
      <c r="C60" s="156"/>
      <c r="E60" s="156"/>
      <c r="F60" s="174"/>
      <c r="G60" s="156"/>
      <c r="H60" s="6">
        <f t="shared" si="0"/>
      </c>
      <c r="I60" s="156"/>
      <c r="K60" s="160">
        <f t="shared" si="1"/>
      </c>
      <c r="L60" s="175"/>
      <c r="M60" s="156"/>
      <c r="O60" s="163">
        <f t="shared" si="4"/>
      </c>
      <c r="P60" s="5">
        <f t="shared" si="3"/>
      </c>
      <c r="Q60" s="163">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3" customFormat="1" ht="12">
      <c r="C61" s="156"/>
      <c r="E61" s="156"/>
      <c r="F61" s="174"/>
      <c r="G61" s="156"/>
      <c r="H61" s="6">
        <f t="shared" si="0"/>
      </c>
      <c r="I61" s="156"/>
      <c r="K61" s="160">
        <f t="shared" si="1"/>
      </c>
      <c r="L61" s="175"/>
      <c r="M61" s="156"/>
      <c r="O61" s="163">
        <f t="shared" si="4"/>
      </c>
      <c r="P61" s="5">
        <f t="shared" si="3"/>
      </c>
      <c r="Q61" s="163">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3" customFormat="1" ht="12">
      <c r="C62" s="156"/>
      <c r="E62" s="156"/>
      <c r="F62" s="174"/>
      <c r="G62" s="156"/>
      <c r="H62" s="6">
        <f t="shared" si="0"/>
      </c>
      <c r="I62" s="156"/>
      <c r="K62" s="160">
        <f t="shared" si="1"/>
      </c>
      <c r="L62" s="175"/>
      <c r="M62" s="156"/>
      <c r="O62" s="163">
        <f t="shared" si="4"/>
      </c>
      <c r="P62" s="5">
        <f t="shared" si="3"/>
      </c>
      <c r="Q62" s="163">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3" customFormat="1" ht="12">
      <c r="C63" s="156"/>
      <c r="E63" s="156"/>
      <c r="F63" s="174"/>
      <c r="G63" s="156"/>
      <c r="H63" s="6">
        <f t="shared" si="0"/>
      </c>
      <c r="I63" s="156"/>
      <c r="K63" s="160">
        <f t="shared" si="1"/>
      </c>
      <c r="L63" s="175"/>
      <c r="M63" s="156"/>
      <c r="O63" s="163">
        <f t="shared" si="4"/>
      </c>
      <c r="P63" s="5">
        <f t="shared" si="3"/>
      </c>
      <c r="Q63" s="163">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3" customFormat="1" ht="12">
      <c r="C64" s="156"/>
      <c r="E64" s="156"/>
      <c r="F64" s="174"/>
      <c r="G64" s="156"/>
      <c r="H64" s="6">
        <f t="shared" si="0"/>
      </c>
      <c r="I64" s="156"/>
      <c r="K64" s="160">
        <f t="shared" si="1"/>
      </c>
      <c r="L64" s="175"/>
      <c r="M64" s="156"/>
      <c r="O64" s="163">
        <f t="shared" si="4"/>
      </c>
      <c r="P64" s="5">
        <f t="shared" si="3"/>
      </c>
      <c r="Q64" s="163">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3" customFormat="1" ht="12">
      <c r="C65" s="156"/>
      <c r="E65" s="156"/>
      <c r="F65" s="174"/>
      <c r="G65" s="156"/>
      <c r="H65" s="6">
        <f t="shared" si="0"/>
      </c>
      <c r="I65" s="156"/>
      <c r="K65" s="160">
        <f t="shared" si="1"/>
      </c>
      <c r="L65" s="175"/>
      <c r="M65" s="156"/>
      <c r="O65" s="163">
        <f t="shared" si="4"/>
      </c>
      <c r="P65" s="5">
        <f t="shared" si="3"/>
      </c>
      <c r="Q65" s="163">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3" customFormat="1" ht="12">
      <c r="C66" s="156"/>
      <c r="E66" s="156"/>
      <c r="F66" s="174"/>
      <c r="G66" s="156"/>
      <c r="H66" s="6">
        <f t="shared" si="0"/>
      </c>
      <c r="I66" s="156"/>
      <c r="K66" s="160">
        <f t="shared" si="1"/>
      </c>
      <c r="L66" s="175"/>
      <c r="M66" s="156"/>
      <c r="O66" s="163">
        <f t="shared" si="4"/>
      </c>
      <c r="P66" s="5">
        <f t="shared" si="3"/>
      </c>
      <c r="Q66" s="163">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3" customFormat="1" ht="12">
      <c r="C67" s="156"/>
      <c r="E67" s="156"/>
      <c r="F67" s="174"/>
      <c r="G67" s="156"/>
      <c r="H67" s="6">
        <f t="shared" si="0"/>
      </c>
      <c r="I67" s="156"/>
      <c r="K67" s="160">
        <f t="shared" si="1"/>
      </c>
      <c r="L67" s="175"/>
      <c r="M67" s="156"/>
      <c r="O67" s="163">
        <f t="shared" si="4"/>
      </c>
      <c r="P67" s="5">
        <f t="shared" si="3"/>
      </c>
      <c r="Q67" s="163">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3" customFormat="1" ht="12">
      <c r="C68" s="156"/>
      <c r="E68" s="156"/>
      <c r="F68" s="174"/>
      <c r="G68" s="156"/>
      <c r="H68" s="6">
        <f t="shared" si="0"/>
      </c>
      <c r="I68" s="156"/>
      <c r="K68" s="160">
        <f t="shared" si="1"/>
      </c>
      <c r="L68" s="175"/>
      <c r="M68" s="156"/>
      <c r="O68" s="163">
        <f t="shared" si="4"/>
      </c>
      <c r="P68" s="5">
        <f t="shared" si="3"/>
      </c>
      <c r="Q68" s="163">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3" customFormat="1" ht="12">
      <c r="C69" s="156"/>
      <c r="E69" s="156"/>
      <c r="F69" s="174"/>
      <c r="G69" s="156"/>
      <c r="H69" s="6">
        <f aca="true" t="shared" si="5" ref="H69:H99">IF(ISNUMBER(G69),0.4*G69,"")</f>
      </c>
      <c r="I69" s="156"/>
      <c r="K69" s="160">
        <f t="shared" si="1"/>
      </c>
      <c r="L69" s="175"/>
      <c r="M69" s="156"/>
      <c r="O69" s="163">
        <f t="shared" si="4"/>
      </c>
      <c r="P69" s="5">
        <f t="shared" si="3"/>
      </c>
      <c r="Q69" s="163">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3" customFormat="1" ht="12">
      <c r="C70" s="156"/>
      <c r="E70" s="156"/>
      <c r="F70" s="174"/>
      <c r="G70" s="156"/>
      <c r="H70" s="6">
        <f t="shared" si="5"/>
      </c>
      <c r="I70" s="156"/>
      <c r="K70" s="160">
        <f aca="true" t="shared" si="6" ref="K70:K99">IF(ISNUMBER(J70),0.2*J70,"")</f>
      </c>
      <c r="L70" s="175"/>
      <c r="M70" s="156"/>
      <c r="O70" s="163">
        <f t="shared" si="4"/>
      </c>
      <c r="P70" s="5">
        <f aca="true" t="shared" si="7" ref="P70:P99">IF(ISNUMBER(O70),IF(O70&lt;20,O70,20),"")</f>
      </c>
      <c r="Q70" s="163">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3" customFormat="1" ht="12">
      <c r="C71" s="156"/>
      <c r="E71" s="156"/>
      <c r="F71" s="174"/>
      <c r="G71" s="156"/>
      <c r="H71" s="6">
        <f t="shared" si="5"/>
      </c>
      <c r="I71" s="156"/>
      <c r="K71" s="160">
        <f t="shared" si="6"/>
      </c>
      <c r="L71" s="175"/>
      <c r="M71" s="156"/>
      <c r="O71" s="163">
        <f t="shared" si="4"/>
      </c>
      <c r="P71" s="5">
        <f t="shared" si="7"/>
      </c>
      <c r="Q71" s="163">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3" customFormat="1" ht="12">
      <c r="C72" s="156"/>
      <c r="E72" s="156"/>
      <c r="F72" s="174"/>
      <c r="G72" s="156"/>
      <c r="H72" s="6">
        <f t="shared" si="5"/>
      </c>
      <c r="I72" s="156"/>
      <c r="K72" s="160">
        <f t="shared" si="6"/>
      </c>
      <c r="L72" s="175"/>
      <c r="M72" s="156"/>
      <c r="O72" s="163">
        <f t="shared" si="4"/>
      </c>
      <c r="P72" s="5">
        <f t="shared" si="7"/>
      </c>
      <c r="Q72" s="163">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3" customFormat="1" ht="12">
      <c r="C73" s="156"/>
      <c r="E73" s="156"/>
      <c r="F73" s="174"/>
      <c r="G73" s="156"/>
      <c r="H73" s="6">
        <f t="shared" si="5"/>
      </c>
      <c r="I73" s="156"/>
      <c r="K73" s="160">
        <f t="shared" si="6"/>
      </c>
      <c r="L73" s="175"/>
      <c r="M73" s="156"/>
      <c r="O73" s="163">
        <f t="shared" si="4"/>
      </c>
      <c r="P73" s="5">
        <f t="shared" si="7"/>
      </c>
      <c r="Q73" s="163">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3" customFormat="1" ht="12">
      <c r="C74" s="156"/>
      <c r="E74" s="156"/>
      <c r="F74" s="174"/>
      <c r="G74" s="156"/>
      <c r="H74" s="6">
        <f t="shared" si="5"/>
      </c>
      <c r="I74" s="156"/>
      <c r="K74" s="160">
        <f t="shared" si="6"/>
      </c>
      <c r="L74" s="175"/>
      <c r="M74" s="156"/>
      <c r="O74" s="163">
        <f t="shared" si="4"/>
      </c>
      <c r="P74" s="5">
        <f t="shared" si="7"/>
      </c>
      <c r="Q74" s="163">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3" customFormat="1" ht="12">
      <c r="C75" s="156"/>
      <c r="E75" s="156"/>
      <c r="F75" s="174"/>
      <c r="G75" s="156"/>
      <c r="H75" s="6">
        <f t="shared" si="5"/>
      </c>
      <c r="I75" s="156"/>
      <c r="K75" s="160">
        <f t="shared" si="6"/>
      </c>
      <c r="L75" s="175"/>
      <c r="M75" s="156"/>
      <c r="O75" s="163">
        <f t="shared" si="4"/>
      </c>
      <c r="P75" s="5">
        <f t="shared" si="7"/>
      </c>
      <c r="Q75" s="163">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3" customFormat="1" ht="12">
      <c r="C76" s="156"/>
      <c r="E76" s="156"/>
      <c r="F76" s="174"/>
      <c r="G76" s="156"/>
      <c r="H76" s="6">
        <f t="shared" si="5"/>
      </c>
      <c r="I76" s="156"/>
      <c r="K76" s="160">
        <f t="shared" si="6"/>
      </c>
      <c r="L76" s="175"/>
      <c r="M76" s="156"/>
      <c r="O76" s="163">
        <f t="shared" si="4"/>
      </c>
      <c r="P76" s="5">
        <f t="shared" si="7"/>
      </c>
      <c r="Q76" s="163">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3" customFormat="1" ht="12">
      <c r="C77" s="156"/>
      <c r="E77" s="156"/>
      <c r="F77" s="174"/>
      <c r="G77" s="156"/>
      <c r="H77" s="6">
        <f t="shared" si="5"/>
      </c>
      <c r="I77" s="156"/>
      <c r="K77" s="160">
        <f t="shared" si="6"/>
      </c>
      <c r="L77" s="175"/>
      <c r="M77" s="156"/>
      <c r="O77" s="163">
        <f t="shared" si="4"/>
      </c>
      <c r="P77" s="5">
        <f t="shared" si="7"/>
      </c>
      <c r="Q77" s="163">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3" customFormat="1" ht="12">
      <c r="C78" s="156"/>
      <c r="E78" s="156"/>
      <c r="F78" s="174"/>
      <c r="G78" s="156"/>
      <c r="H78" s="6">
        <f t="shared" si="5"/>
      </c>
      <c r="I78" s="156"/>
      <c r="K78" s="160">
        <f t="shared" si="6"/>
      </c>
      <c r="L78" s="175"/>
      <c r="M78" s="156"/>
      <c r="O78" s="163">
        <f t="shared" si="4"/>
      </c>
      <c r="P78" s="5">
        <f t="shared" si="7"/>
      </c>
      <c r="Q78" s="163">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3" customFormat="1" ht="12">
      <c r="C79" s="156"/>
      <c r="E79" s="156"/>
      <c r="F79" s="174"/>
      <c r="G79" s="156"/>
      <c r="H79" s="6">
        <f t="shared" si="5"/>
      </c>
      <c r="I79" s="156"/>
      <c r="K79" s="160">
        <f t="shared" si="6"/>
      </c>
      <c r="L79" s="175"/>
      <c r="M79" s="156"/>
      <c r="O79" s="163">
        <f t="shared" si="4"/>
      </c>
      <c r="P79" s="5">
        <f t="shared" si="7"/>
      </c>
      <c r="Q79" s="163">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3" customFormat="1" ht="12">
      <c r="C80" s="156"/>
      <c r="E80" s="156"/>
      <c r="F80" s="174"/>
      <c r="G80" s="156"/>
      <c r="H80" s="6">
        <f t="shared" si="5"/>
      </c>
      <c r="I80" s="156"/>
      <c r="K80" s="160">
        <f t="shared" si="6"/>
      </c>
      <c r="L80" s="175"/>
      <c r="M80" s="156"/>
      <c r="O80" s="163">
        <f t="shared" si="4"/>
      </c>
      <c r="P80" s="5">
        <f t="shared" si="7"/>
      </c>
      <c r="Q80" s="163">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3" customFormat="1" ht="12">
      <c r="C81" s="156"/>
      <c r="E81" s="156"/>
      <c r="F81" s="174"/>
      <c r="G81" s="156"/>
      <c r="H81" s="6">
        <f t="shared" si="5"/>
      </c>
      <c r="I81" s="156"/>
      <c r="K81" s="160">
        <f t="shared" si="6"/>
      </c>
      <c r="L81" s="175"/>
      <c r="M81" s="156"/>
      <c r="O81" s="163">
        <f t="shared" si="4"/>
      </c>
      <c r="P81" s="5">
        <f t="shared" si="7"/>
      </c>
      <c r="Q81" s="163">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3" customFormat="1" ht="12">
      <c r="C82" s="156"/>
      <c r="E82" s="156"/>
      <c r="F82" s="174"/>
      <c r="G82" s="156"/>
      <c r="H82" s="6">
        <f t="shared" si="5"/>
      </c>
      <c r="I82" s="156"/>
      <c r="K82" s="160">
        <f t="shared" si="6"/>
      </c>
      <c r="L82" s="175"/>
      <c r="M82" s="156"/>
      <c r="O82" s="163">
        <f t="shared" si="4"/>
      </c>
      <c r="P82" s="5">
        <f t="shared" si="7"/>
      </c>
      <c r="Q82" s="163">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3" customFormat="1" ht="12">
      <c r="C83" s="156"/>
      <c r="E83" s="156"/>
      <c r="F83" s="174"/>
      <c r="G83" s="156"/>
      <c r="H83" s="6">
        <f t="shared" si="5"/>
      </c>
      <c r="I83" s="156"/>
      <c r="K83" s="160">
        <f t="shared" si="6"/>
      </c>
      <c r="L83" s="175"/>
      <c r="M83" s="156"/>
      <c r="O83" s="163">
        <f t="shared" si="4"/>
      </c>
      <c r="P83" s="5">
        <f t="shared" si="7"/>
      </c>
      <c r="Q83" s="163">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3" customFormat="1" ht="12">
      <c r="C84" s="156"/>
      <c r="E84" s="156"/>
      <c r="F84" s="174"/>
      <c r="G84" s="156"/>
      <c r="H84" s="6">
        <f t="shared" si="5"/>
      </c>
      <c r="I84" s="156"/>
      <c r="K84" s="160">
        <f t="shared" si="6"/>
      </c>
      <c r="L84" s="175"/>
      <c r="M84" s="156"/>
      <c r="O84" s="163">
        <f t="shared" si="4"/>
      </c>
      <c r="P84" s="5">
        <f t="shared" si="7"/>
      </c>
      <c r="Q84" s="163">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3" customFormat="1" ht="12">
      <c r="C85" s="156"/>
      <c r="E85" s="156"/>
      <c r="F85" s="174"/>
      <c r="G85" s="156"/>
      <c r="H85" s="6">
        <f t="shared" si="5"/>
      </c>
      <c r="I85" s="156"/>
      <c r="K85" s="160">
        <f t="shared" si="6"/>
      </c>
      <c r="L85" s="175"/>
      <c r="M85" s="156"/>
      <c r="O85" s="163">
        <f t="shared" si="4"/>
      </c>
      <c r="P85" s="5">
        <f t="shared" si="7"/>
      </c>
      <c r="Q85" s="163">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3" customFormat="1" ht="12">
      <c r="C86" s="156"/>
      <c r="E86" s="156"/>
      <c r="F86" s="174"/>
      <c r="G86" s="156"/>
      <c r="H86" s="6">
        <f t="shared" si="5"/>
      </c>
      <c r="I86" s="156"/>
      <c r="K86" s="160">
        <f t="shared" si="6"/>
      </c>
      <c r="L86" s="175"/>
      <c r="M86" s="156"/>
      <c r="O86" s="163">
        <f t="shared" si="4"/>
      </c>
      <c r="P86" s="5">
        <f t="shared" si="7"/>
      </c>
      <c r="Q86" s="163">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3" customFormat="1" ht="12">
      <c r="C87" s="156"/>
      <c r="E87" s="156"/>
      <c r="F87" s="174"/>
      <c r="G87" s="156"/>
      <c r="H87" s="6">
        <f t="shared" si="5"/>
      </c>
      <c r="I87" s="156"/>
      <c r="K87" s="160">
        <f t="shared" si="6"/>
      </c>
      <c r="L87" s="175"/>
      <c r="M87" s="156"/>
      <c r="O87" s="163">
        <f t="shared" si="4"/>
      </c>
      <c r="P87" s="5">
        <f t="shared" si="7"/>
      </c>
      <c r="Q87" s="163">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3" customFormat="1" ht="12">
      <c r="C88" s="156"/>
      <c r="E88" s="156"/>
      <c r="F88" s="174"/>
      <c r="G88" s="156"/>
      <c r="H88" s="6">
        <f t="shared" si="5"/>
      </c>
      <c r="I88" s="156"/>
      <c r="K88" s="160">
        <f t="shared" si="6"/>
      </c>
      <c r="L88" s="175"/>
      <c r="M88" s="156"/>
      <c r="O88" s="163">
        <f t="shared" si="4"/>
      </c>
      <c r="P88" s="5">
        <f t="shared" si="7"/>
      </c>
      <c r="Q88" s="163">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3" customFormat="1" ht="12">
      <c r="C89" s="156"/>
      <c r="E89" s="156"/>
      <c r="F89" s="174"/>
      <c r="G89" s="156"/>
      <c r="H89" s="6">
        <f t="shared" si="5"/>
      </c>
      <c r="I89" s="156"/>
      <c r="K89" s="160">
        <f t="shared" si="6"/>
      </c>
      <c r="L89" s="175"/>
      <c r="M89" s="156"/>
      <c r="O89" s="163">
        <f t="shared" si="4"/>
      </c>
      <c r="P89" s="5">
        <f t="shared" si="7"/>
      </c>
      <c r="Q89" s="163">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3" customFormat="1" ht="12">
      <c r="C90" s="156"/>
      <c r="E90" s="156"/>
      <c r="F90" s="174"/>
      <c r="G90" s="156"/>
      <c r="H90" s="6">
        <f t="shared" si="5"/>
      </c>
      <c r="I90" s="156"/>
      <c r="K90" s="160">
        <f t="shared" si="6"/>
      </c>
      <c r="L90" s="175"/>
      <c r="M90" s="156"/>
      <c r="O90" s="163">
        <f t="shared" si="4"/>
      </c>
      <c r="P90" s="5">
        <f t="shared" si="7"/>
      </c>
      <c r="Q90" s="163">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3" customFormat="1" ht="12">
      <c r="C91" s="156"/>
      <c r="E91" s="156"/>
      <c r="F91" s="174"/>
      <c r="G91" s="156"/>
      <c r="H91" s="6">
        <f t="shared" si="5"/>
      </c>
      <c r="I91" s="156"/>
      <c r="K91" s="160">
        <f t="shared" si="6"/>
      </c>
      <c r="L91" s="175"/>
      <c r="M91" s="156"/>
      <c r="O91" s="163">
        <f t="shared" si="4"/>
      </c>
      <c r="P91" s="5">
        <f t="shared" si="7"/>
      </c>
      <c r="Q91" s="163">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3" customFormat="1" ht="12">
      <c r="C92" s="156"/>
      <c r="E92" s="156"/>
      <c r="F92" s="174"/>
      <c r="G92" s="156"/>
      <c r="H92" s="6">
        <f t="shared" si="5"/>
      </c>
      <c r="I92" s="156"/>
      <c r="K92" s="160">
        <f t="shared" si="6"/>
      </c>
      <c r="L92" s="175"/>
      <c r="M92" s="156"/>
      <c r="O92" s="163">
        <f t="shared" si="4"/>
      </c>
      <c r="P92" s="5">
        <f t="shared" si="7"/>
      </c>
      <c r="Q92" s="163">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3" customFormat="1" ht="12">
      <c r="C93" s="156"/>
      <c r="E93" s="156"/>
      <c r="F93" s="174"/>
      <c r="G93" s="156"/>
      <c r="H93" s="6">
        <f t="shared" si="5"/>
      </c>
      <c r="I93" s="156"/>
      <c r="K93" s="160">
        <f t="shared" si="6"/>
      </c>
      <c r="L93" s="175"/>
      <c r="M93" s="156"/>
      <c r="O93" s="163">
        <f t="shared" si="4"/>
      </c>
      <c r="P93" s="5">
        <f t="shared" si="7"/>
      </c>
      <c r="Q93" s="163">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3" customFormat="1" ht="12">
      <c r="C94" s="156"/>
      <c r="E94" s="156"/>
      <c r="F94" s="174"/>
      <c r="G94" s="156"/>
      <c r="H94" s="6">
        <f t="shared" si="5"/>
      </c>
      <c r="I94" s="156"/>
      <c r="K94" s="160">
        <f t="shared" si="6"/>
      </c>
      <c r="L94" s="175"/>
      <c r="M94" s="156"/>
      <c r="O94" s="163">
        <f t="shared" si="4"/>
      </c>
      <c r="P94" s="5">
        <f t="shared" si="7"/>
      </c>
      <c r="Q94" s="163">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3" customFormat="1" ht="12">
      <c r="C95" s="156"/>
      <c r="E95" s="156"/>
      <c r="F95" s="174"/>
      <c r="G95" s="156"/>
      <c r="H95" s="6">
        <f t="shared" si="5"/>
      </c>
      <c r="I95" s="156"/>
      <c r="K95" s="160">
        <f t="shared" si="6"/>
      </c>
      <c r="L95" s="175"/>
      <c r="M95" s="156"/>
      <c r="O95" s="163">
        <f t="shared" si="4"/>
      </c>
      <c r="P95" s="5">
        <f t="shared" si="7"/>
      </c>
      <c r="Q95" s="163">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3" customFormat="1" ht="12">
      <c r="C96" s="156"/>
      <c r="E96" s="156"/>
      <c r="F96" s="174"/>
      <c r="G96" s="156"/>
      <c r="H96" s="6">
        <f t="shared" si="5"/>
      </c>
      <c r="I96" s="156"/>
      <c r="K96" s="160">
        <f t="shared" si="6"/>
      </c>
      <c r="L96" s="175"/>
      <c r="M96" s="156"/>
      <c r="O96" s="163">
        <f t="shared" si="4"/>
      </c>
      <c r="P96" s="5">
        <f t="shared" si="7"/>
      </c>
      <c r="Q96" s="163">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3" customFormat="1" ht="12">
      <c r="C97" s="156"/>
      <c r="E97" s="156"/>
      <c r="F97" s="174"/>
      <c r="G97" s="156"/>
      <c r="H97" s="6">
        <f t="shared" si="5"/>
      </c>
      <c r="I97" s="156"/>
      <c r="K97" s="160">
        <f t="shared" si="6"/>
      </c>
      <c r="L97" s="175"/>
      <c r="M97" s="156"/>
      <c r="O97" s="163">
        <f t="shared" si="4"/>
      </c>
      <c r="P97" s="5">
        <f t="shared" si="7"/>
      </c>
      <c r="Q97" s="163">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3" customFormat="1" ht="12">
      <c r="C98" s="156"/>
      <c r="E98" s="156"/>
      <c r="F98" s="174"/>
      <c r="G98" s="156"/>
      <c r="H98" s="6">
        <f t="shared" si="5"/>
      </c>
      <c r="I98" s="156"/>
      <c r="K98" s="160">
        <f t="shared" si="6"/>
      </c>
      <c r="L98" s="175"/>
      <c r="M98" s="156"/>
      <c r="O98" s="163">
        <f t="shared" si="4"/>
      </c>
      <c r="P98" s="5">
        <f t="shared" si="7"/>
      </c>
      <c r="Q98" s="163">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3" customFormat="1" ht="12">
      <c r="C99" s="156"/>
      <c r="E99" s="156"/>
      <c r="F99" s="174"/>
      <c r="G99" s="156"/>
      <c r="H99" s="6">
        <f t="shared" si="5"/>
      </c>
      <c r="I99" s="156"/>
      <c r="K99" s="160">
        <f t="shared" si="6"/>
      </c>
      <c r="L99" s="175"/>
      <c r="M99" s="156"/>
      <c r="O99" s="163">
        <f t="shared" si="4"/>
      </c>
      <c r="P99" s="5">
        <f t="shared" si="7"/>
      </c>
      <c r="Q99" s="163">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182" bestFit="1" customWidth="1"/>
    <col min="4" max="4" width="11.57421875" style="26" bestFit="1" customWidth="1"/>
    <col min="5" max="5" width="9.00390625" style="182" bestFit="1" customWidth="1"/>
    <col min="6" max="6" width="11.00390625" style="26" bestFit="1" customWidth="1"/>
    <col min="7" max="7" width="8.8515625" style="182" bestFit="1" customWidth="1"/>
    <col min="8" max="8" width="8.00390625" style="26" bestFit="1" customWidth="1"/>
    <col min="9" max="9" width="6.28125" style="182" bestFit="1" customWidth="1"/>
    <col min="10" max="10" width="10.7109375" style="26" bestFit="1" customWidth="1"/>
    <col min="11" max="11" width="9.00390625" style="182" bestFit="1" customWidth="1"/>
    <col min="12" max="12" width="9.7109375" style="26" customWidth="1"/>
    <col min="13" max="13" width="9.140625" style="182" bestFit="1" customWidth="1"/>
    <col min="14" max="14" width="11.00390625" style="26" bestFit="1" customWidth="1"/>
    <col min="15" max="16384" width="9.140625" style="26" customWidth="1"/>
  </cols>
  <sheetData>
    <row r="1" spans="1:14" ht="12.75">
      <c r="A1" s="151" t="s">
        <v>139</v>
      </c>
      <c r="B1" s="27" t="s">
        <v>86</v>
      </c>
      <c r="C1" s="184" t="s">
        <v>17</v>
      </c>
      <c r="D1" s="14" t="s">
        <v>87</v>
      </c>
      <c r="E1" s="184" t="s">
        <v>18</v>
      </c>
      <c r="F1" s="14" t="s">
        <v>110</v>
      </c>
      <c r="G1" s="184" t="s">
        <v>81</v>
      </c>
      <c r="H1" s="14" t="s">
        <v>83</v>
      </c>
      <c r="I1" s="184" t="s">
        <v>55</v>
      </c>
      <c r="J1" s="14" t="s">
        <v>89</v>
      </c>
      <c r="K1" s="184" t="s">
        <v>89</v>
      </c>
      <c r="L1" s="14" t="s">
        <v>95</v>
      </c>
      <c r="M1" s="184" t="s">
        <v>97</v>
      </c>
      <c r="N1" s="14" t="s">
        <v>100</v>
      </c>
    </row>
    <row r="2" spans="1:14" ht="12.75">
      <c r="A2" s="44"/>
      <c r="B2" s="27" t="s">
        <v>78</v>
      </c>
      <c r="C2" s="184"/>
      <c r="D2" s="14" t="s">
        <v>88</v>
      </c>
      <c r="E2" s="184"/>
      <c r="F2" s="14" t="s">
        <v>111</v>
      </c>
      <c r="G2" s="184" t="s">
        <v>82</v>
      </c>
      <c r="H2" s="14" t="s">
        <v>84</v>
      </c>
      <c r="I2" s="184"/>
      <c r="J2" s="14" t="s">
        <v>90</v>
      </c>
      <c r="K2" s="184" t="s">
        <v>62</v>
      </c>
      <c r="L2" s="14" t="s">
        <v>96</v>
      </c>
      <c r="M2" s="184" t="s">
        <v>96</v>
      </c>
      <c r="N2" s="14" t="s">
        <v>85</v>
      </c>
    </row>
    <row r="3" spans="1:14" ht="12.75">
      <c r="A3" s="45"/>
      <c r="B3" s="28" t="s">
        <v>22</v>
      </c>
      <c r="C3" s="185"/>
      <c r="D3" s="15" t="s">
        <v>71</v>
      </c>
      <c r="E3" s="185" t="s">
        <v>103</v>
      </c>
      <c r="F3" s="15" t="s">
        <v>103</v>
      </c>
      <c r="G3" s="185" t="s">
        <v>25</v>
      </c>
      <c r="H3" s="15" t="s">
        <v>25</v>
      </c>
      <c r="I3" s="185" t="s">
        <v>25</v>
      </c>
      <c r="J3" s="15" t="s">
        <v>25</v>
      </c>
      <c r="K3" s="185" t="s">
        <v>25</v>
      </c>
      <c r="L3" s="15"/>
      <c r="M3" s="185"/>
      <c r="N3" s="15"/>
    </row>
    <row r="4" spans="1:14" s="25" customFormat="1" ht="12.75">
      <c r="A4" s="46" t="s">
        <v>7</v>
      </c>
      <c r="B4" s="23">
        <v>32</v>
      </c>
      <c r="C4" s="183" t="s">
        <v>19</v>
      </c>
      <c r="D4" s="16">
        <v>10</v>
      </c>
      <c r="E4" s="183">
        <v>100000</v>
      </c>
      <c r="F4" s="16">
        <v>15000</v>
      </c>
      <c r="G4" s="183">
        <v>10500</v>
      </c>
      <c r="H4" s="30">
        <v>2100</v>
      </c>
      <c r="I4" s="183">
        <v>250</v>
      </c>
      <c r="J4" s="16">
        <v>50</v>
      </c>
      <c r="K4" s="183">
        <v>250</v>
      </c>
      <c r="L4" s="43">
        <f>IF(AND(ISNUMBER(E4),ISNUMBER(F4)),(E4/F4),"")</f>
        <v>6.666666666666667</v>
      </c>
      <c r="M4" s="177">
        <f>IF(ISNUMBER(L4),IF(L4&lt;20,L4,20),"")</f>
        <v>6.666666666666667</v>
      </c>
      <c r="N4" s="29">
        <f>IF(ISNUMBER(M4),(('Prices &amp; Rates'!C$4/100)/(1-(1+'Prices &amp; Rates'!C$4/100)^(-M4))),"")</f>
        <v>0.2263143744180308</v>
      </c>
    </row>
    <row r="5" spans="1:14" s="25" customFormat="1" ht="12.75">
      <c r="A5" s="46" t="s">
        <v>60</v>
      </c>
      <c r="B5" s="23" t="s">
        <v>125</v>
      </c>
      <c r="C5" s="183" t="s">
        <v>20</v>
      </c>
      <c r="D5" s="16" t="s">
        <v>126</v>
      </c>
      <c r="E5" s="183">
        <v>100000</v>
      </c>
      <c r="F5" s="16">
        <v>5000</v>
      </c>
      <c r="G5" s="183">
        <v>27000</v>
      </c>
      <c r="H5" s="30">
        <f>IF(ISNUMBER(G5),0.2*G5,"")</f>
        <v>5400</v>
      </c>
      <c r="I5" s="183" t="s">
        <v>127</v>
      </c>
      <c r="J5" s="16" t="s">
        <v>128</v>
      </c>
      <c r="K5" s="183" t="s">
        <v>129</v>
      </c>
      <c r="L5" s="43">
        <f>IF(AND(ISNUMBER(E5),ISNUMBER(F5)),(E5/F5),"")</f>
        <v>20</v>
      </c>
      <c r="M5" s="177">
        <f aca="true" t="shared" si="0" ref="M5:M50">IF(ISNUMBER(L5),IF(L5&lt;20,L5,20),"")</f>
        <v>20</v>
      </c>
      <c r="N5" s="29">
        <f>IF(ISNUMBER(M5),(('Prices &amp; Rates'!C$4/100)/(1-(1+'Prices &amp; Rates'!C$4/100)^(-M5))),"")</f>
        <v>0.13387878003966064</v>
      </c>
    </row>
    <row r="6" spans="1:14" s="25" customFormat="1" ht="12.75">
      <c r="A6" s="46" t="s">
        <v>67</v>
      </c>
      <c r="B6" s="23">
        <v>10</v>
      </c>
      <c r="C6" s="183" t="s">
        <v>19</v>
      </c>
      <c r="D6" s="16">
        <v>45</v>
      </c>
      <c r="E6" s="183">
        <v>2000</v>
      </c>
      <c r="F6" s="16">
        <v>2000</v>
      </c>
      <c r="G6" s="183">
        <v>4000</v>
      </c>
      <c r="H6" s="30">
        <v>800</v>
      </c>
      <c r="I6" s="183">
        <v>100</v>
      </c>
      <c r="J6" s="16">
        <v>0</v>
      </c>
      <c r="K6" s="183">
        <v>0</v>
      </c>
      <c r="L6" s="43">
        <f>IF(AND(ISNUMBER(E6),ISNUMBER(F6)),(E6/F6),"")</f>
        <v>1</v>
      </c>
      <c r="M6" s="177">
        <f t="shared" si="0"/>
        <v>1</v>
      </c>
      <c r="N6" s="29">
        <f>IF(ISNUMBER(M6),(('Prices &amp; Rates'!C$4/100)/(1-(1+'Prices &amp; Rates'!C$4/100)^(-M6))),"")</f>
        <v>1.1199999999999992</v>
      </c>
    </row>
    <row r="7" spans="1:14" ht="12.75">
      <c r="A7" s="46"/>
      <c r="B7" s="22"/>
      <c r="C7" s="183"/>
      <c r="D7" s="9"/>
      <c r="E7" s="157"/>
      <c r="F7" s="9"/>
      <c r="G7" s="157"/>
      <c r="H7" s="30"/>
      <c r="I7" s="157"/>
      <c r="J7" s="9"/>
      <c r="K7" s="157"/>
      <c r="L7" s="43">
        <f aca="true" t="shared" si="1" ref="L7:L50">IF(AND(ISNUMBER(E7),ISNUMBER(F7)),(E7/F7),"")</f>
      </c>
      <c r="M7" s="177">
        <f t="shared" si="0"/>
      </c>
      <c r="N7" s="29">
        <f>IF(ISNUMBER(M7),(('Prices &amp; Rates'!C$4/100)/(1-(1+'Prices &amp; Rates'!C$4/100)^(-M7))),"")</f>
      </c>
    </row>
    <row r="8" spans="1:14" ht="12.75">
      <c r="A8" s="46"/>
      <c r="B8" s="22"/>
      <c r="C8" s="157"/>
      <c r="D8" s="9"/>
      <c r="E8" s="157"/>
      <c r="F8" s="9"/>
      <c r="G8" s="157"/>
      <c r="H8" s="30">
        <f aca="true" t="shared" si="2" ref="H8:H50">IF(ISNUMBER(G8),0.2*G8,"")</f>
      </c>
      <c r="I8" s="157"/>
      <c r="J8" s="9"/>
      <c r="K8" s="157"/>
      <c r="L8" s="43">
        <f t="shared" si="1"/>
      </c>
      <c r="M8" s="177">
        <f t="shared" si="0"/>
      </c>
      <c r="N8" s="29">
        <f>IF(ISNUMBER(M8),(('Prices &amp; Rates'!C$4/100)/(1-(1+'Prices &amp; Rates'!C$4/100)^(-M8))),"")</f>
      </c>
    </row>
    <row r="9" spans="1:14" ht="12.75">
      <c r="A9" s="46"/>
      <c r="B9" s="22"/>
      <c r="C9" s="157"/>
      <c r="D9" s="9"/>
      <c r="E9" s="157"/>
      <c r="F9" s="9"/>
      <c r="G9" s="157"/>
      <c r="H9" s="30">
        <f t="shared" si="2"/>
      </c>
      <c r="I9" s="157"/>
      <c r="J9" s="9"/>
      <c r="K9" s="157"/>
      <c r="L9" s="43">
        <f t="shared" si="1"/>
      </c>
      <c r="M9" s="177">
        <f t="shared" si="0"/>
      </c>
      <c r="N9" s="29">
        <f>IF(ISNUMBER(M9),(('Prices &amp; Rates'!C$4/100)/(1-(1+'Prices &amp; Rates'!C$4/100)^(-M9))),"")</f>
      </c>
    </row>
    <row r="10" spans="1:14" ht="12.75">
      <c r="A10" s="46"/>
      <c r="B10" s="22"/>
      <c r="C10" s="157"/>
      <c r="D10" s="9"/>
      <c r="E10" s="157"/>
      <c r="F10" s="9"/>
      <c r="G10" s="157"/>
      <c r="H10" s="30">
        <f t="shared" si="2"/>
      </c>
      <c r="I10" s="157"/>
      <c r="J10" s="9"/>
      <c r="K10" s="157"/>
      <c r="L10" s="43">
        <f t="shared" si="1"/>
      </c>
      <c r="M10" s="177">
        <f t="shared" si="0"/>
      </c>
      <c r="N10" s="29">
        <f>IF(ISNUMBER(M10),(('Prices &amp; Rates'!C$4/100)/(1-(1+'Prices &amp; Rates'!C$4/100)^(-M10))),"")</f>
      </c>
    </row>
    <row r="11" spans="1:14" ht="12">
      <c r="A11" s="46"/>
      <c r="B11" s="22"/>
      <c r="C11" s="157"/>
      <c r="D11" s="9"/>
      <c r="E11" s="157"/>
      <c r="F11" s="9"/>
      <c r="G11" s="157"/>
      <c r="H11" s="30">
        <f t="shared" si="2"/>
      </c>
      <c r="I11" s="157"/>
      <c r="J11" s="9"/>
      <c r="K11" s="157"/>
      <c r="L11" s="43">
        <f t="shared" si="1"/>
      </c>
      <c r="M11" s="177">
        <f t="shared" si="0"/>
      </c>
      <c r="N11" s="29">
        <f>IF(ISNUMBER(M11),(('Prices &amp; Rates'!C$4/100)/(1-(1+'Prices &amp; Rates'!C$4/100)^(-M11))),"")</f>
      </c>
    </row>
    <row r="12" spans="1:14" ht="12">
      <c r="A12" s="46"/>
      <c r="B12" s="22"/>
      <c r="C12" s="157"/>
      <c r="D12" s="9"/>
      <c r="E12" s="157"/>
      <c r="F12" s="9"/>
      <c r="G12" s="157"/>
      <c r="H12" s="30">
        <f t="shared" si="2"/>
      </c>
      <c r="I12" s="157"/>
      <c r="J12" s="9"/>
      <c r="K12" s="157"/>
      <c r="L12" s="43">
        <f t="shared" si="1"/>
      </c>
      <c r="M12" s="177">
        <f t="shared" si="0"/>
      </c>
      <c r="N12" s="29">
        <f>IF(ISNUMBER(M12),(('Prices &amp; Rates'!C$4/100)/(1-(1+'Prices &amp; Rates'!C$4/100)^(-M12))),"")</f>
      </c>
    </row>
    <row r="13" spans="1:14" ht="12">
      <c r="A13" s="46"/>
      <c r="B13" s="22"/>
      <c r="C13" s="157"/>
      <c r="D13" s="9"/>
      <c r="E13" s="157"/>
      <c r="F13" s="9"/>
      <c r="G13" s="157"/>
      <c r="H13" s="30">
        <f t="shared" si="2"/>
      </c>
      <c r="I13" s="157"/>
      <c r="J13" s="9"/>
      <c r="K13" s="157"/>
      <c r="L13" s="43">
        <f t="shared" si="1"/>
      </c>
      <c r="M13" s="177">
        <f t="shared" si="0"/>
      </c>
      <c r="N13" s="29">
        <f>IF(ISNUMBER(M13),(('Prices &amp; Rates'!C$4/100)/(1-(1+'Prices &amp; Rates'!C$4/100)^(-M13))),"")</f>
      </c>
    </row>
    <row r="14" spans="1:14" ht="12">
      <c r="A14" s="46"/>
      <c r="B14" s="22"/>
      <c r="C14" s="157"/>
      <c r="D14" s="9"/>
      <c r="E14" s="157"/>
      <c r="F14" s="9"/>
      <c r="G14" s="157"/>
      <c r="H14" s="30">
        <f t="shared" si="2"/>
      </c>
      <c r="I14" s="157"/>
      <c r="J14" s="9"/>
      <c r="K14" s="157"/>
      <c r="L14" s="43">
        <f t="shared" si="1"/>
      </c>
      <c r="M14" s="177">
        <f t="shared" si="0"/>
      </c>
      <c r="N14" s="29">
        <f>IF(ISNUMBER(M14),(('Prices &amp; Rates'!C$4/100)/(1-(1+'Prices &amp; Rates'!C$4/100)^(-M14))),"")</f>
      </c>
    </row>
    <row r="15" spans="1:14" ht="12">
      <c r="A15" s="46"/>
      <c r="B15" s="22"/>
      <c r="C15" s="157"/>
      <c r="D15" s="9"/>
      <c r="E15" s="157"/>
      <c r="F15" s="9"/>
      <c r="G15" s="157"/>
      <c r="H15" s="30">
        <f t="shared" si="2"/>
      </c>
      <c r="I15" s="157"/>
      <c r="J15" s="9"/>
      <c r="K15" s="157"/>
      <c r="L15" s="43">
        <f t="shared" si="1"/>
      </c>
      <c r="M15" s="177">
        <f t="shared" si="0"/>
      </c>
      <c r="N15" s="29">
        <f>IF(ISNUMBER(M15),(('Prices &amp; Rates'!C$4/100)/(1-(1+'Prices &amp; Rates'!C$4/100)^(-M15))),"")</f>
      </c>
    </row>
    <row r="16" spans="1:14" ht="12">
      <c r="A16" s="46"/>
      <c r="B16" s="22"/>
      <c r="C16" s="157"/>
      <c r="D16" s="9"/>
      <c r="E16" s="157"/>
      <c r="F16" s="9"/>
      <c r="G16" s="157"/>
      <c r="H16" s="30">
        <f t="shared" si="2"/>
      </c>
      <c r="I16" s="157"/>
      <c r="J16" s="9"/>
      <c r="K16" s="157"/>
      <c r="L16" s="43">
        <f t="shared" si="1"/>
      </c>
      <c r="M16" s="177">
        <f t="shared" si="0"/>
      </c>
      <c r="N16" s="29">
        <f>IF(ISNUMBER(M16),(('Prices &amp; Rates'!C$4/100)/(1-(1+'Prices &amp; Rates'!C$4/100)^(-M16))),"")</f>
      </c>
    </row>
    <row r="17" spans="1:14" ht="12">
      <c r="A17" s="46"/>
      <c r="B17" s="22"/>
      <c r="C17" s="157"/>
      <c r="D17" s="9"/>
      <c r="E17" s="157"/>
      <c r="F17" s="9"/>
      <c r="G17" s="157"/>
      <c r="H17" s="30">
        <f t="shared" si="2"/>
      </c>
      <c r="I17" s="157"/>
      <c r="J17" s="9"/>
      <c r="K17" s="157"/>
      <c r="L17" s="43">
        <f t="shared" si="1"/>
      </c>
      <c r="M17" s="177">
        <f t="shared" si="0"/>
      </c>
      <c r="N17" s="29">
        <f>IF(ISNUMBER(M17),(('Prices &amp; Rates'!C$4/100)/(1-(1+'Prices &amp; Rates'!C$4/100)^(-M17))),"")</f>
      </c>
    </row>
    <row r="18" spans="1:14" ht="12">
      <c r="A18" s="46"/>
      <c r="B18" s="22"/>
      <c r="C18" s="157"/>
      <c r="D18" s="9"/>
      <c r="E18" s="157"/>
      <c r="F18" s="9"/>
      <c r="G18" s="157"/>
      <c r="H18" s="30">
        <f t="shared" si="2"/>
      </c>
      <c r="I18" s="157"/>
      <c r="J18" s="9"/>
      <c r="K18" s="157"/>
      <c r="L18" s="43">
        <f t="shared" si="1"/>
      </c>
      <c r="M18" s="177">
        <f t="shared" si="0"/>
      </c>
      <c r="N18" s="29">
        <f>IF(ISNUMBER(M18),(('Prices &amp; Rates'!C$4/100)/(1-(1+'Prices &amp; Rates'!C$4/100)^(-M18))),"")</f>
      </c>
    </row>
    <row r="19" spans="1:14" ht="12">
      <c r="A19" s="46"/>
      <c r="B19" s="22"/>
      <c r="C19" s="157"/>
      <c r="D19" s="9"/>
      <c r="E19" s="157"/>
      <c r="F19" s="9"/>
      <c r="G19" s="157"/>
      <c r="H19" s="30">
        <f t="shared" si="2"/>
      </c>
      <c r="I19" s="157"/>
      <c r="J19" s="9"/>
      <c r="K19" s="157"/>
      <c r="L19" s="43">
        <f t="shared" si="1"/>
      </c>
      <c r="M19" s="177">
        <f t="shared" si="0"/>
      </c>
      <c r="N19" s="29">
        <f>IF(ISNUMBER(M19),(('Prices &amp; Rates'!C$4/100)/(1-(1+'Prices &amp; Rates'!C$4/100)^(-M19))),"")</f>
      </c>
    </row>
    <row r="20" spans="1:14" ht="12">
      <c r="A20" s="46"/>
      <c r="B20" s="22"/>
      <c r="C20" s="157"/>
      <c r="D20" s="9"/>
      <c r="E20" s="157"/>
      <c r="F20" s="9"/>
      <c r="G20" s="157"/>
      <c r="H20" s="30">
        <f t="shared" si="2"/>
      </c>
      <c r="I20" s="157"/>
      <c r="J20" s="9"/>
      <c r="K20" s="157"/>
      <c r="L20" s="43">
        <f t="shared" si="1"/>
      </c>
      <c r="M20" s="177">
        <f t="shared" si="0"/>
      </c>
      <c r="N20" s="29">
        <f>IF(ISNUMBER(M20),(('Prices &amp; Rates'!C$4/100)/(1-(1+'Prices &amp; Rates'!C$4/100)^(-M20))),"")</f>
      </c>
    </row>
    <row r="21" spans="1:14" ht="12">
      <c r="A21" s="46"/>
      <c r="B21" s="22"/>
      <c r="C21" s="157"/>
      <c r="D21" s="9"/>
      <c r="E21" s="157"/>
      <c r="F21" s="9"/>
      <c r="G21" s="157"/>
      <c r="H21" s="30">
        <f t="shared" si="2"/>
      </c>
      <c r="I21" s="157"/>
      <c r="J21" s="9"/>
      <c r="K21" s="157"/>
      <c r="L21" s="43">
        <f t="shared" si="1"/>
      </c>
      <c r="M21" s="177">
        <f t="shared" si="0"/>
      </c>
      <c r="N21" s="29">
        <f>IF(ISNUMBER(M21),(('Prices &amp; Rates'!C$4/100)/(1-(1+'Prices &amp; Rates'!C$4/100)^(-M21))),"")</f>
      </c>
    </row>
    <row r="22" spans="1:14" ht="12">
      <c r="A22" s="46"/>
      <c r="B22" s="22"/>
      <c r="C22" s="157"/>
      <c r="D22" s="9"/>
      <c r="E22" s="157"/>
      <c r="F22" s="9"/>
      <c r="G22" s="157"/>
      <c r="H22" s="30">
        <f t="shared" si="2"/>
      </c>
      <c r="I22" s="157"/>
      <c r="J22" s="9"/>
      <c r="K22" s="157"/>
      <c r="L22" s="43">
        <f t="shared" si="1"/>
      </c>
      <c r="M22" s="177">
        <f t="shared" si="0"/>
      </c>
      <c r="N22" s="29">
        <f>IF(ISNUMBER(M22),(('Prices &amp; Rates'!C$4/100)/(1-(1+'Prices &amp; Rates'!C$4/100)^(-M22))),"")</f>
      </c>
    </row>
    <row r="23" spans="1:14" ht="12">
      <c r="A23" s="46"/>
      <c r="B23" s="22"/>
      <c r="C23" s="157"/>
      <c r="D23" s="9"/>
      <c r="E23" s="157"/>
      <c r="F23" s="9"/>
      <c r="G23" s="157"/>
      <c r="H23" s="30">
        <f t="shared" si="2"/>
      </c>
      <c r="I23" s="157"/>
      <c r="J23" s="9"/>
      <c r="K23" s="157"/>
      <c r="L23" s="43">
        <f t="shared" si="1"/>
      </c>
      <c r="M23" s="177">
        <f t="shared" si="0"/>
      </c>
      <c r="N23" s="29">
        <f>IF(ISNUMBER(M23),(('Prices &amp; Rates'!C$4/100)/(1-(1+'Prices &amp; Rates'!C$4/100)^(-M23))),"")</f>
      </c>
    </row>
    <row r="24" spans="1:14" ht="12">
      <c r="A24" s="46"/>
      <c r="B24" s="22"/>
      <c r="C24" s="157"/>
      <c r="D24" s="9"/>
      <c r="E24" s="157"/>
      <c r="F24" s="9"/>
      <c r="G24" s="157"/>
      <c r="H24" s="30">
        <f t="shared" si="2"/>
      </c>
      <c r="I24" s="157"/>
      <c r="J24" s="9"/>
      <c r="K24" s="157"/>
      <c r="L24" s="43">
        <f t="shared" si="1"/>
      </c>
      <c r="M24" s="177">
        <f t="shared" si="0"/>
      </c>
      <c r="N24" s="29">
        <f>IF(ISNUMBER(M24),(('Prices &amp; Rates'!C$4/100)/(1-(1+'Prices &amp; Rates'!C$4/100)^(-M24))),"")</f>
      </c>
    </row>
    <row r="25" spans="1:14" ht="12">
      <c r="A25" s="46"/>
      <c r="B25" s="22"/>
      <c r="C25" s="157"/>
      <c r="D25" s="9"/>
      <c r="E25" s="157"/>
      <c r="F25" s="9"/>
      <c r="G25" s="157"/>
      <c r="H25" s="30">
        <f t="shared" si="2"/>
      </c>
      <c r="I25" s="157"/>
      <c r="J25" s="9"/>
      <c r="K25" s="157"/>
      <c r="L25" s="43">
        <f t="shared" si="1"/>
      </c>
      <c r="M25" s="177">
        <f t="shared" si="0"/>
      </c>
      <c r="N25" s="29">
        <f>IF(ISNUMBER(M25),(('Prices &amp; Rates'!C$4/100)/(1-(1+'Prices &amp; Rates'!C$4/100)^(-M25))),"")</f>
      </c>
    </row>
    <row r="26" spans="1:14" ht="12">
      <c r="A26" s="46"/>
      <c r="B26" s="22"/>
      <c r="C26" s="157"/>
      <c r="D26" s="9"/>
      <c r="E26" s="157"/>
      <c r="F26" s="9"/>
      <c r="G26" s="157"/>
      <c r="H26" s="30">
        <f t="shared" si="2"/>
      </c>
      <c r="I26" s="157"/>
      <c r="J26" s="9"/>
      <c r="K26" s="157"/>
      <c r="L26" s="43">
        <f t="shared" si="1"/>
      </c>
      <c r="M26" s="177">
        <f t="shared" si="0"/>
      </c>
      <c r="N26" s="29">
        <f>IF(ISNUMBER(M26),(('Prices &amp; Rates'!C$4/100)/(1-(1+'Prices &amp; Rates'!C$4/100)^(-M26))),"")</f>
      </c>
    </row>
    <row r="27" spans="1:14" ht="12">
      <c r="A27" s="46"/>
      <c r="B27" s="22"/>
      <c r="C27" s="157"/>
      <c r="D27" s="9"/>
      <c r="E27" s="157"/>
      <c r="F27" s="9"/>
      <c r="G27" s="157"/>
      <c r="H27" s="30">
        <f t="shared" si="2"/>
      </c>
      <c r="I27" s="157"/>
      <c r="J27" s="9"/>
      <c r="K27" s="157"/>
      <c r="L27" s="43">
        <f t="shared" si="1"/>
      </c>
      <c r="M27" s="177">
        <f t="shared" si="0"/>
      </c>
      <c r="N27" s="29">
        <f>IF(ISNUMBER(M27),(('Prices &amp; Rates'!C$4/100)/(1-(1+'Prices &amp; Rates'!C$4/100)^(-M27))),"")</f>
      </c>
    </row>
    <row r="28" spans="1:14" ht="12">
      <c r="A28" s="46"/>
      <c r="B28" s="22"/>
      <c r="C28" s="157"/>
      <c r="D28" s="9"/>
      <c r="E28" s="157"/>
      <c r="F28" s="9"/>
      <c r="G28" s="157"/>
      <c r="H28" s="30">
        <f t="shared" si="2"/>
      </c>
      <c r="I28" s="157"/>
      <c r="J28" s="9"/>
      <c r="K28" s="157"/>
      <c r="L28" s="43">
        <f t="shared" si="1"/>
      </c>
      <c r="M28" s="177">
        <f t="shared" si="0"/>
      </c>
      <c r="N28" s="29">
        <f>IF(ISNUMBER(M28),(('Prices &amp; Rates'!C$4/100)/(1-(1+'Prices &amp; Rates'!C$4/100)^(-M28))),"")</f>
      </c>
    </row>
    <row r="29" spans="1:14" ht="12">
      <c r="A29" s="46"/>
      <c r="B29" s="22"/>
      <c r="C29" s="157"/>
      <c r="D29" s="9"/>
      <c r="E29" s="157"/>
      <c r="F29" s="9"/>
      <c r="G29" s="157"/>
      <c r="H29" s="30">
        <f t="shared" si="2"/>
      </c>
      <c r="I29" s="157"/>
      <c r="J29" s="9"/>
      <c r="K29" s="157"/>
      <c r="L29" s="43">
        <f t="shared" si="1"/>
      </c>
      <c r="M29" s="177">
        <f t="shared" si="0"/>
      </c>
      <c r="N29" s="29">
        <f>IF(ISNUMBER(M29),(('Prices &amp; Rates'!C$4/100)/(1-(1+'Prices &amp; Rates'!C$4/100)^(-M29))),"")</f>
      </c>
    </row>
    <row r="30" spans="1:14" ht="12">
      <c r="A30" s="46"/>
      <c r="B30" s="22"/>
      <c r="C30" s="157"/>
      <c r="D30" s="9"/>
      <c r="E30" s="157"/>
      <c r="F30" s="9"/>
      <c r="G30" s="157"/>
      <c r="H30" s="30">
        <f t="shared" si="2"/>
      </c>
      <c r="I30" s="157"/>
      <c r="J30" s="9"/>
      <c r="K30" s="157"/>
      <c r="L30" s="43">
        <f t="shared" si="1"/>
      </c>
      <c r="M30" s="177">
        <f t="shared" si="0"/>
      </c>
      <c r="N30" s="29">
        <f>IF(ISNUMBER(M30),(('Prices &amp; Rates'!C$4/100)/(1-(1+'Prices &amp; Rates'!C$4/100)^(-M30))),"")</f>
      </c>
    </row>
    <row r="31" spans="1:14" ht="12">
      <c r="A31" s="46"/>
      <c r="B31" s="22"/>
      <c r="C31" s="157"/>
      <c r="D31" s="9"/>
      <c r="E31" s="157"/>
      <c r="F31" s="9"/>
      <c r="G31" s="157"/>
      <c r="H31" s="30">
        <f t="shared" si="2"/>
      </c>
      <c r="I31" s="157"/>
      <c r="J31" s="9"/>
      <c r="K31" s="157"/>
      <c r="L31" s="43">
        <f t="shared" si="1"/>
      </c>
      <c r="M31" s="177">
        <f t="shared" si="0"/>
      </c>
      <c r="N31" s="29">
        <f>IF(ISNUMBER(M31),(('Prices &amp; Rates'!C$4/100)/(1-(1+'Prices &amp; Rates'!C$4/100)^(-M31))),"")</f>
      </c>
    </row>
    <row r="32" spans="1:14" ht="12">
      <c r="A32" s="46"/>
      <c r="B32" s="22"/>
      <c r="C32" s="157"/>
      <c r="D32" s="9"/>
      <c r="E32" s="157"/>
      <c r="F32" s="9"/>
      <c r="G32" s="157"/>
      <c r="H32" s="30">
        <f t="shared" si="2"/>
      </c>
      <c r="I32" s="157"/>
      <c r="J32" s="9"/>
      <c r="K32" s="157"/>
      <c r="L32" s="43">
        <f t="shared" si="1"/>
      </c>
      <c r="M32" s="177">
        <f t="shared" si="0"/>
      </c>
      <c r="N32" s="29">
        <f>IF(ISNUMBER(M32),(('Prices &amp; Rates'!C$4/100)/(1-(1+'Prices &amp; Rates'!C$4/100)^(-M32))),"")</f>
      </c>
    </row>
    <row r="33" spans="1:14" ht="12">
      <c r="A33" s="46"/>
      <c r="B33" s="22"/>
      <c r="C33" s="157"/>
      <c r="D33" s="9"/>
      <c r="E33" s="157"/>
      <c r="F33" s="9"/>
      <c r="G33" s="157"/>
      <c r="H33" s="30">
        <f t="shared" si="2"/>
      </c>
      <c r="I33" s="157"/>
      <c r="J33" s="9"/>
      <c r="K33" s="157"/>
      <c r="L33" s="43">
        <f t="shared" si="1"/>
      </c>
      <c r="M33" s="177">
        <f t="shared" si="0"/>
      </c>
      <c r="N33" s="29">
        <f>IF(ISNUMBER(M33),(('Prices &amp; Rates'!C$4/100)/(1-(1+'Prices &amp; Rates'!C$4/100)^(-M33))),"")</f>
      </c>
    </row>
    <row r="34" spans="1:14" ht="12">
      <c r="A34" s="46"/>
      <c r="B34" s="22"/>
      <c r="C34" s="157"/>
      <c r="D34" s="9"/>
      <c r="E34" s="157"/>
      <c r="F34" s="9"/>
      <c r="G34" s="157"/>
      <c r="H34" s="30">
        <f t="shared" si="2"/>
      </c>
      <c r="I34" s="157"/>
      <c r="J34" s="9"/>
      <c r="K34" s="157"/>
      <c r="L34" s="43">
        <f t="shared" si="1"/>
      </c>
      <c r="M34" s="177">
        <f t="shared" si="0"/>
      </c>
      <c r="N34" s="29">
        <f>IF(ISNUMBER(M34),(('Prices &amp; Rates'!C$4/100)/(1-(1+'Prices &amp; Rates'!C$4/100)^(-M34))),"")</f>
      </c>
    </row>
    <row r="35" spans="1:14" ht="12">
      <c r="A35" s="46"/>
      <c r="B35" s="22"/>
      <c r="C35" s="157"/>
      <c r="D35" s="9"/>
      <c r="E35" s="157"/>
      <c r="F35" s="9"/>
      <c r="G35" s="157"/>
      <c r="H35" s="30">
        <f t="shared" si="2"/>
      </c>
      <c r="I35" s="157"/>
      <c r="J35" s="9"/>
      <c r="K35" s="157"/>
      <c r="L35" s="43">
        <f t="shared" si="1"/>
      </c>
      <c r="M35" s="177">
        <f t="shared" si="0"/>
      </c>
      <c r="N35" s="29">
        <f>IF(ISNUMBER(M35),(('Prices &amp; Rates'!C$4/100)/(1-(1+'Prices &amp; Rates'!C$4/100)^(-M35))),"")</f>
      </c>
    </row>
    <row r="36" spans="1:14" ht="12">
      <c r="A36" s="46"/>
      <c r="B36" s="22"/>
      <c r="C36" s="157"/>
      <c r="D36" s="9"/>
      <c r="E36" s="157"/>
      <c r="F36" s="9"/>
      <c r="G36" s="157"/>
      <c r="H36" s="30">
        <f t="shared" si="2"/>
      </c>
      <c r="I36" s="157"/>
      <c r="J36" s="9"/>
      <c r="K36" s="157"/>
      <c r="L36" s="43">
        <f t="shared" si="1"/>
      </c>
      <c r="M36" s="177">
        <f t="shared" si="0"/>
      </c>
      <c r="N36" s="29">
        <f>IF(ISNUMBER(M36),(('Prices &amp; Rates'!C$4/100)/(1-(1+'Prices &amp; Rates'!C$4/100)^(-M36))),"")</f>
      </c>
    </row>
    <row r="37" spans="1:14" ht="12">
      <c r="A37" s="46"/>
      <c r="B37" s="22"/>
      <c r="C37" s="157"/>
      <c r="D37" s="9"/>
      <c r="E37" s="157"/>
      <c r="F37" s="9"/>
      <c r="G37" s="157"/>
      <c r="H37" s="30">
        <f t="shared" si="2"/>
      </c>
      <c r="I37" s="157"/>
      <c r="J37" s="9"/>
      <c r="K37" s="157"/>
      <c r="L37" s="43">
        <f t="shared" si="1"/>
      </c>
      <c r="M37" s="177">
        <f t="shared" si="0"/>
      </c>
      <c r="N37" s="29">
        <f>IF(ISNUMBER(M37),(('Prices &amp; Rates'!C$4/100)/(1-(1+'Prices &amp; Rates'!C$4/100)^(-M37))),"")</f>
      </c>
    </row>
    <row r="38" spans="1:14" ht="12">
      <c r="A38" s="46"/>
      <c r="B38" s="22"/>
      <c r="C38" s="157"/>
      <c r="D38" s="9"/>
      <c r="E38" s="157"/>
      <c r="F38" s="9"/>
      <c r="G38" s="157"/>
      <c r="H38" s="30">
        <f t="shared" si="2"/>
      </c>
      <c r="I38" s="157"/>
      <c r="J38" s="9"/>
      <c r="K38" s="157"/>
      <c r="L38" s="43">
        <f t="shared" si="1"/>
      </c>
      <c r="M38" s="177">
        <f t="shared" si="0"/>
      </c>
      <c r="N38" s="29">
        <f>IF(ISNUMBER(M38),(('Prices &amp; Rates'!C$4/100)/(1-(1+'Prices &amp; Rates'!C$4/100)^(-M38))),"")</f>
      </c>
    </row>
    <row r="39" spans="1:14" ht="12">
      <c r="A39" s="46"/>
      <c r="B39" s="22"/>
      <c r="C39" s="157"/>
      <c r="D39" s="9"/>
      <c r="E39" s="157"/>
      <c r="F39" s="9"/>
      <c r="G39" s="157"/>
      <c r="H39" s="30">
        <f t="shared" si="2"/>
      </c>
      <c r="I39" s="157"/>
      <c r="J39" s="9"/>
      <c r="K39" s="157"/>
      <c r="L39" s="43">
        <f t="shared" si="1"/>
      </c>
      <c r="M39" s="177">
        <f t="shared" si="0"/>
      </c>
      <c r="N39" s="29">
        <f>IF(ISNUMBER(M39),(('Prices &amp; Rates'!C$4/100)/(1-(1+'Prices &amp; Rates'!C$4/100)^(-M39))),"")</f>
      </c>
    </row>
    <row r="40" spans="1:14" ht="12">
      <c r="A40" s="46"/>
      <c r="B40" s="22"/>
      <c r="C40" s="157"/>
      <c r="D40" s="9"/>
      <c r="E40" s="157"/>
      <c r="F40" s="9"/>
      <c r="G40" s="157"/>
      <c r="H40" s="30">
        <f t="shared" si="2"/>
      </c>
      <c r="I40" s="157"/>
      <c r="J40" s="9"/>
      <c r="K40" s="157"/>
      <c r="L40" s="43">
        <f t="shared" si="1"/>
      </c>
      <c r="M40" s="177">
        <f t="shared" si="0"/>
      </c>
      <c r="N40" s="29">
        <f>IF(ISNUMBER(M40),(('Prices &amp; Rates'!C$4/100)/(1-(1+'Prices &amp; Rates'!C$4/100)^(-M40))),"")</f>
      </c>
    </row>
    <row r="41" spans="1:14" ht="12">
      <c r="A41" s="46"/>
      <c r="B41" s="22"/>
      <c r="C41" s="157"/>
      <c r="D41" s="9"/>
      <c r="E41" s="157"/>
      <c r="F41" s="9"/>
      <c r="G41" s="157"/>
      <c r="H41" s="30">
        <f t="shared" si="2"/>
      </c>
      <c r="I41" s="157"/>
      <c r="J41" s="9"/>
      <c r="K41" s="157"/>
      <c r="L41" s="43">
        <f t="shared" si="1"/>
      </c>
      <c r="M41" s="177">
        <f t="shared" si="0"/>
      </c>
      <c r="N41" s="29">
        <f>IF(ISNUMBER(M41),(('Prices &amp; Rates'!C$4/100)/(1-(1+'Prices &amp; Rates'!C$4/100)^(-M41))),"")</f>
      </c>
    </row>
    <row r="42" spans="1:14" ht="12">
      <c r="A42" s="46"/>
      <c r="B42" s="22"/>
      <c r="C42" s="157"/>
      <c r="D42" s="9"/>
      <c r="E42" s="157"/>
      <c r="F42" s="9"/>
      <c r="G42" s="157"/>
      <c r="H42" s="30">
        <f t="shared" si="2"/>
      </c>
      <c r="I42" s="157"/>
      <c r="J42" s="9"/>
      <c r="K42" s="157"/>
      <c r="L42" s="43">
        <f t="shared" si="1"/>
      </c>
      <c r="M42" s="177">
        <f t="shared" si="0"/>
      </c>
      <c r="N42" s="29">
        <f>IF(ISNUMBER(M42),(('Prices &amp; Rates'!C$4/100)/(1-(1+'Prices &amp; Rates'!C$4/100)^(-M42))),"")</f>
      </c>
    </row>
    <row r="43" spans="1:14" ht="12">
      <c r="A43" s="46"/>
      <c r="B43" s="22"/>
      <c r="C43" s="157"/>
      <c r="D43" s="9"/>
      <c r="E43" s="157"/>
      <c r="F43" s="9"/>
      <c r="G43" s="157"/>
      <c r="H43" s="30">
        <f t="shared" si="2"/>
      </c>
      <c r="I43" s="157"/>
      <c r="J43" s="9"/>
      <c r="K43" s="157"/>
      <c r="L43" s="43">
        <f t="shared" si="1"/>
      </c>
      <c r="M43" s="177">
        <f t="shared" si="0"/>
      </c>
      <c r="N43" s="29">
        <f>IF(ISNUMBER(M43),(('Prices &amp; Rates'!C$4/100)/(1-(1+'Prices &amp; Rates'!C$4/100)^(-M43))),"")</f>
      </c>
    </row>
    <row r="44" spans="1:14" ht="12">
      <c r="A44" s="46"/>
      <c r="B44" s="22"/>
      <c r="C44" s="157"/>
      <c r="D44" s="9"/>
      <c r="E44" s="157"/>
      <c r="F44" s="9"/>
      <c r="G44" s="157"/>
      <c r="H44" s="30">
        <f t="shared" si="2"/>
      </c>
      <c r="I44" s="157"/>
      <c r="J44" s="9"/>
      <c r="K44" s="157"/>
      <c r="L44" s="43">
        <f t="shared" si="1"/>
      </c>
      <c r="M44" s="177">
        <f t="shared" si="0"/>
      </c>
      <c r="N44" s="29">
        <f>IF(ISNUMBER(M44),(('Prices &amp; Rates'!C$4/100)/(1-(1+'Prices &amp; Rates'!C$4/100)^(-M44))),"")</f>
      </c>
    </row>
    <row r="45" spans="1:14" ht="12">
      <c r="A45" s="46"/>
      <c r="B45" s="22"/>
      <c r="C45" s="157"/>
      <c r="D45" s="9"/>
      <c r="E45" s="157"/>
      <c r="F45" s="9"/>
      <c r="G45" s="157"/>
      <c r="H45" s="30">
        <f t="shared" si="2"/>
      </c>
      <c r="I45" s="157"/>
      <c r="J45" s="9"/>
      <c r="K45" s="157"/>
      <c r="L45" s="43">
        <f t="shared" si="1"/>
      </c>
      <c r="M45" s="177">
        <f t="shared" si="0"/>
      </c>
      <c r="N45" s="29">
        <f>IF(ISNUMBER(M45),(('Prices &amp; Rates'!C$4/100)/(1-(1+'Prices &amp; Rates'!C$4/100)^(-M45))),"")</f>
      </c>
    </row>
    <row r="46" spans="1:14" ht="12">
      <c r="A46" s="46"/>
      <c r="B46" s="22"/>
      <c r="C46" s="157"/>
      <c r="D46" s="9"/>
      <c r="E46" s="157"/>
      <c r="F46" s="9"/>
      <c r="G46" s="157"/>
      <c r="H46" s="30">
        <f t="shared" si="2"/>
      </c>
      <c r="I46" s="157"/>
      <c r="J46" s="9"/>
      <c r="K46" s="157"/>
      <c r="L46" s="43">
        <f t="shared" si="1"/>
      </c>
      <c r="M46" s="177">
        <f t="shared" si="0"/>
      </c>
      <c r="N46" s="29">
        <f>IF(ISNUMBER(M46),(('Prices &amp; Rates'!C$4/100)/(1-(1+'Prices &amp; Rates'!C$4/100)^(-M46))),"")</f>
      </c>
    </row>
    <row r="47" spans="1:14" ht="12">
      <c r="A47" s="46"/>
      <c r="B47" s="22"/>
      <c r="C47" s="157"/>
      <c r="D47" s="9"/>
      <c r="E47" s="157"/>
      <c r="F47" s="9"/>
      <c r="G47" s="157"/>
      <c r="H47" s="30">
        <f t="shared" si="2"/>
      </c>
      <c r="I47" s="157"/>
      <c r="J47" s="9"/>
      <c r="K47" s="157"/>
      <c r="L47" s="43">
        <f t="shared" si="1"/>
      </c>
      <c r="M47" s="177">
        <f t="shared" si="0"/>
      </c>
      <c r="N47" s="29">
        <f>IF(ISNUMBER(M47),(('Prices &amp; Rates'!C$4/100)/(1-(1+'Prices &amp; Rates'!C$4/100)^(-M47))),"")</f>
      </c>
    </row>
    <row r="48" spans="1:14" ht="12">
      <c r="A48" s="46"/>
      <c r="B48" s="22"/>
      <c r="C48" s="157"/>
      <c r="D48" s="9"/>
      <c r="E48" s="157"/>
      <c r="F48" s="9"/>
      <c r="G48" s="157"/>
      <c r="H48" s="30">
        <f t="shared" si="2"/>
      </c>
      <c r="I48" s="157"/>
      <c r="J48" s="9"/>
      <c r="K48" s="157"/>
      <c r="L48" s="43">
        <f t="shared" si="1"/>
      </c>
      <c r="M48" s="177">
        <f t="shared" si="0"/>
      </c>
      <c r="N48" s="29">
        <f>IF(ISNUMBER(M48),(('Prices &amp; Rates'!C$4/100)/(1-(1+'Prices &amp; Rates'!C$4/100)^(-M48))),"")</f>
      </c>
    </row>
    <row r="49" spans="1:14" ht="12">
      <c r="A49" s="46"/>
      <c r="B49" s="22"/>
      <c r="C49" s="157"/>
      <c r="D49" s="9"/>
      <c r="E49" s="157"/>
      <c r="F49" s="9"/>
      <c r="G49" s="157"/>
      <c r="H49" s="30">
        <f t="shared" si="2"/>
      </c>
      <c r="I49" s="157"/>
      <c r="J49" s="9"/>
      <c r="K49" s="157"/>
      <c r="L49" s="43">
        <f t="shared" si="1"/>
      </c>
      <c r="M49" s="177">
        <f t="shared" si="0"/>
      </c>
      <c r="N49" s="29">
        <f>IF(ISNUMBER(M49),(('Prices &amp; Rates'!C$4/100)/(1-(1+'Prices &amp; Rates'!C$4/100)^(-M49))),"")</f>
      </c>
    </row>
    <row r="50" spans="1:14" ht="12">
      <c r="A50" s="46"/>
      <c r="B50" s="22"/>
      <c r="C50" s="157"/>
      <c r="D50" s="9"/>
      <c r="E50" s="157"/>
      <c r="F50" s="9"/>
      <c r="G50" s="157"/>
      <c r="H50" s="30">
        <f t="shared" si="2"/>
      </c>
      <c r="I50" s="157"/>
      <c r="J50" s="9"/>
      <c r="K50" s="157"/>
      <c r="L50" s="43">
        <f t="shared" si="1"/>
      </c>
      <c r="M50" s="177">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121</v>
      </c>
      <c r="B1" s="21" t="s">
        <v>120</v>
      </c>
      <c r="C1" s="178" t="s">
        <v>84</v>
      </c>
    </row>
    <row r="2" spans="1:3" ht="12.75">
      <c r="A2" s="1" t="s">
        <v>118</v>
      </c>
      <c r="B2" s="1" t="s">
        <v>11</v>
      </c>
      <c r="C2" s="11">
        <v>1.2</v>
      </c>
    </row>
    <row r="3" spans="1:3" ht="12.75">
      <c r="A3" s="1" t="s">
        <v>119</v>
      </c>
      <c r="B3" s="1" t="s">
        <v>11</v>
      </c>
      <c r="C3" s="11">
        <v>0.8</v>
      </c>
    </row>
    <row r="4" spans="1:3" ht="12.75">
      <c r="A4" s="1" t="s">
        <v>12</v>
      </c>
      <c r="B4" s="1" t="s">
        <v>13</v>
      </c>
      <c r="C4" s="11">
        <v>12</v>
      </c>
    </row>
    <row r="5" spans="1:3" ht="12.75">
      <c r="A5" s="1" t="s">
        <v>14</v>
      </c>
      <c r="B5" s="1" t="s">
        <v>15</v>
      </c>
      <c r="C5" s="11">
        <v>10</v>
      </c>
    </row>
    <row r="6" spans="1:3" ht="12.75">
      <c r="A6" s="1" t="s">
        <v>92</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