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chartsheets/sheet1.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Override PartName="/xl/worksheets/sheet10.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8" yWindow="132" windowWidth="12060" windowHeight="6948" tabRatio="814" activeTab="1"/>
  </bookViews>
  <sheets>
    <sheet name="User's Guide" sheetId="1" r:id="rId1"/>
    <sheet name="Budget" sheetId="2" r:id="rId2"/>
    <sheet name="Machinery" sheetId="3" r:id="rId3"/>
    <sheet name="Vehicles" sheetId="4" r:id="rId4"/>
    <sheet name="Prices &amp; Rates" sheetId="5" r:id="rId5"/>
    <sheet name="Price chg" sheetId="6" r:id="rId6"/>
    <sheet name="Yield chg" sheetId="7" r:id="rId7"/>
    <sheet name="P&amp;Y chg" sheetId="8" r:id="rId8"/>
    <sheet name="Sensitivity Graph" sheetId="9" r:id="rId9"/>
    <sheet name="Fixed Costs" sheetId="10" state="hidden" r:id="rId10"/>
    <sheet name="Fixed Cost Summary" sheetId="11" r:id="rId11"/>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'Budget'!$B$1:$I$58</definedName>
    <definedName name="_xlnm.Print_Area" localSheetId="2">'Machinery'!$A$1:$Q$100</definedName>
    <definedName name="_xlnm.Print_Area" localSheetId="0">'User''s Guide'!$A$1:$M$376</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s>
  <commentList>
    <comment ref="D42" authorId="0">
      <text>
        <r>
          <rPr>
            <b/>
            <sz val="9"/>
            <rFont val="Tahoma"/>
            <family val="2"/>
          </rPr>
          <t>Here's an example of a "pop-up" help screen.  They are used for definitions and instructions.  In some cases, you may have to scroll a worksheet to its top in order to see the whole pop-up.  That's because title rows and colums may be locked to prevent them scrolling off the screen.</t>
        </r>
      </text>
    </comment>
  </commentList>
</comments>
</file>

<file path=xl/comments10.xml><?xml version="1.0" encoding="utf-8"?>
<comments xmlns="http://schemas.openxmlformats.org/spreadsheetml/2006/main">
  <authors>
    <author>eleveldb</author>
  </authors>
  <commentList>
    <comment ref="I2" authorId="0">
      <text>
        <r>
          <rPr>
            <b/>
            <sz val="8"/>
            <rFont val="Tahoma"/>
            <family val="0"/>
          </rPr>
          <t>Enter the percentage of each machine's fixed costs that should be allocated to this particular enterprise.  If a machine in the list is not used in this enterprise, leave this cell value blank.  The spreadsheet will calculate costs on a per acre basis and allow you to transfer the fixed costs to the budget page.</t>
        </r>
      </text>
    </comment>
    <comment ref="G2" authorId="0">
      <text>
        <r>
          <rPr>
            <b/>
            <sz val="8"/>
            <rFont val="Tahoma"/>
            <family val="0"/>
          </rPr>
          <t>Tax, Insurance, License and Shelter is assumed to be a cash fixed cost.</t>
        </r>
      </text>
    </comment>
    <comment ref="F2" authorId="0">
      <text>
        <r>
          <rPr>
            <b/>
            <sz val="8"/>
            <rFont val="Tahoma"/>
            <family val="0"/>
          </rPr>
          <t>Capital recovery includes depreciation and iterest and is assumed to be a noncash fixed cost.</t>
        </r>
      </text>
    </comment>
  </commentList>
</comments>
</file>

<file path=xl/comments11.xml><?xml version="1.0" encoding="utf-8"?>
<comments xmlns="http://schemas.openxmlformats.org/spreadsheetml/2006/main">
  <authors>
    <author>eleveldb</author>
  </authors>
  <commentList>
    <comment ref="G1" authorId="0">
      <text>
        <r>
          <rPr>
            <b/>
            <sz val="8"/>
            <rFont val="Tahoma"/>
            <family val="0"/>
          </rPr>
          <t>None of the data on this page can be changed here.  This page is merely a summary of all the machinery and vehicles in the budget database which you may wish to print along with your budget.  
These fixed costs can be allocated to the budget by specifying the "Fixed Cost Allocation %" on the "Machinery" and "Vehicles" pages, and also specifying the total number of acres represented by this budget at the top of the "Budget" page.  
Two macro buttons on the "Budget" page allow you to link the "Total Cash" and "NonCash Fixed Cost/Acre" to the budget if you wish.
This was left a user option because some users may wish to calculate and allocate their fixed costs in a different or simpler manner.</t>
        </r>
      </text>
    </comment>
    <comment ref="F2" authorId="0">
      <text>
        <r>
          <rPr>
            <b/>
            <sz val="8"/>
            <rFont val="Tahoma"/>
            <family val="0"/>
          </rPr>
          <t>Capital recovery includes depreciation and iterest and is assumed to be a noncash fixed cost.</t>
        </r>
      </text>
    </comment>
    <comment ref="G2" authorId="0">
      <text>
        <r>
          <rPr>
            <b/>
            <sz val="8"/>
            <rFont val="Tahoma"/>
            <family val="0"/>
          </rPr>
          <t>Tax, Insurance, License and Shelter is assumed to be a cash fixed cost.</t>
        </r>
      </text>
    </comment>
    <comment ref="I2" authorId="0">
      <text>
        <r>
          <rPr>
            <b/>
            <sz val="8"/>
            <rFont val="Tahoma"/>
            <family val="0"/>
          </rPr>
          <t>This column shows the percentage of each machine's fixed costs that should are allocated to this particular enterprise.  If a machine in the list is not used in this enterprise, the value should be zero.  The spreadsheet will calculate costs on a per acre basis and allow you to transfer the fixed costs using the macro buttons on the "Budget" page.  Changes to these allocation factors must be made on the "Machinery" and "Vehicles" pages.</t>
        </r>
      </text>
    </comment>
  </commentList>
</comments>
</file>

<file path=xl/comments2.xml><?xml version="1.0" encoding="utf-8"?>
<comments xmlns="http://schemas.openxmlformats.org/spreadsheetml/2006/main">
  <authors>
    <author>Bart Eleveld</author>
    <author>Jim M. Smith</author>
    <author>smithji</author>
    <author>eleveldb</author>
    <author>Jim Smith</author>
  </authors>
  <commentList>
    <comment ref="B13" authorId="0">
      <text>
        <r>
          <rPr>
            <b/>
            <sz val="8"/>
            <rFont val="Tahoma"/>
            <family val="2"/>
          </rPr>
          <t>Variable costs are those which could be avoided by not producing the crop.  Examples include fuel, chemicals, seed, hired labor, etc.  If you can't cover these costs in the short-run, you would be better off not producing at all.</t>
        </r>
      </text>
    </comment>
    <comment ref="B39" authorId="0">
      <text>
        <r>
          <rPr>
            <b/>
            <sz val="8"/>
            <rFont val="Tahoma"/>
            <family val="2"/>
          </rPr>
          <t>Fixed costs are those which can't be avoided by not producing.  Examples include property taxes, depreciation and interest, and casualty insurance premiums.  Even if you can't recover these costs in a given year, you may still be better off continuing to produce as long as variable costs can be recovered.  In the long run, however, you need to be able to recover fixed costs as well, or you might be better off committing the resources to alternative uses.</t>
        </r>
      </text>
    </comment>
    <comment ref="G11" authorId="1">
      <text>
        <r>
          <rPr>
            <b/>
            <sz val="8"/>
            <rFont val="Tahoma"/>
            <family val="0"/>
          </rPr>
          <t xml:space="preserve">$/Unit weighted average price.  Gives the weighted average price of only those products identified with a "Y" under the Break-even column.  </t>
        </r>
      </text>
    </comment>
    <comment ref="E11" authorId="2">
      <text>
        <r>
          <rPr>
            <b/>
            <sz val="8"/>
            <rFont val="Tahoma"/>
            <family val="0"/>
          </rPr>
          <t>Break-even quantity/acre total.  Totals only those the user selects with a "Y".  This value is used to compute the Short-run Break-even Price and the Long-run Break-even Price at the bottom of this spreadsheet.</t>
        </r>
        <r>
          <rPr>
            <sz val="8"/>
            <rFont val="Tahoma"/>
            <family val="0"/>
          </rPr>
          <t xml:space="preserve">
</t>
        </r>
      </text>
    </comment>
    <comment ref="D7" authorId="1">
      <text>
        <r>
          <rPr>
            <b/>
            <sz val="8"/>
            <rFont val="Tahoma"/>
            <family val="0"/>
          </rPr>
          <t>Your major or main products should be given a "Y" value.  Byproducts or incidental products should be given a "N" value.  They will not count towards the product quantity that is used to calculate the break-even price.  But the returns will be counted in that calculation.  All break-even commodities should be measured in the same unit.   An example of how this might be used is if your commodity is being produced in several quality grades, each measured in the same physical units, but receiving different prices.  The break-even analysis will be in terms of a weighted averge price for the multiple break-even products or quality grades.</t>
        </r>
      </text>
    </comment>
    <comment ref="B2" authorId="3">
      <text>
        <r>
          <rPr>
            <b/>
            <sz val="8"/>
            <rFont val="Tahoma"/>
            <family val="2"/>
          </rPr>
          <t>Use these three lines at the top to document your budget.  This can include the name of the commodity, your farm's name and location, and any assumptions that the reader should know about.</t>
        </r>
        <r>
          <rPr>
            <sz val="10"/>
            <rFont val="Tahoma"/>
            <family val="0"/>
          </rPr>
          <t xml:space="preserve">
</t>
        </r>
      </text>
    </comment>
    <comment ref="B16" authorId="3">
      <text>
        <r>
          <rPr>
            <b/>
            <sz val="8"/>
            <rFont val="Tahoma"/>
            <family val="2"/>
          </rPr>
          <t>You can edit the names for the four sections in Variable Cost.  The same name will automatically appear in the subtotal line at the bottom of the section.</t>
        </r>
      </text>
    </comment>
    <comment ref="C15" authorId="3">
      <text>
        <r>
          <rPr>
            <b/>
            <sz val="8"/>
            <rFont val="Tahoma"/>
            <family val="2"/>
          </rPr>
          <t>Enter the physical quantity of the material or service being applied.  If you don't know the quantity and only know the per acre cost, use a quantity of 1 (one) and enter the per acre cost under price.</t>
        </r>
      </text>
    </comment>
    <comment ref="D15" authorId="3">
      <text>
        <r>
          <rPr>
            <b/>
            <sz val="8"/>
            <rFont val="Tahoma"/>
            <family val="2"/>
          </rPr>
          <t xml:space="preserve">Enter the price per unit of the material or service being applied.  </t>
        </r>
      </text>
    </comment>
    <comment ref="E15" authorId="3">
      <text>
        <r>
          <rPr>
            <b/>
            <sz val="8"/>
            <rFont val="Tahoma"/>
            <family val="2"/>
          </rPr>
          <t>You can enter a labor cost directly, or you can use the machinery or vehicle macro button to calculate the labor cost associated with a machinery operation.</t>
        </r>
      </text>
    </comment>
    <comment ref="F15" authorId="3">
      <text>
        <r>
          <rPr>
            <b/>
            <sz val="8"/>
            <rFont val="Tahoma"/>
            <family val="2"/>
          </rPr>
          <t>You can enter a machinery cost directly, or use the machinery or vehicle macro button to calculate it.  The amount entered here would include fuel, oil and lube cost, and repair and maintenance.  Depreciation, interest, taxes and insurance costs for machinery should be entered in the FIXED COST section below.</t>
        </r>
      </text>
    </comment>
    <comment ref="G15" authorId="3">
      <text>
        <r>
          <rPr>
            <b/>
            <sz val="8"/>
            <rFont val="Tahoma"/>
            <family val="2"/>
          </rPr>
          <t>Material costs are entered by using the "Add Material" macro button at the top of the worksheet.  This adds a line under the operation in which you can type the name of the material or service, its quantity and its price.</t>
        </r>
      </text>
    </comment>
    <comment ref="E7" authorId="3">
      <text>
        <r>
          <rPr>
            <b/>
            <sz val="8"/>
            <rFont val="Tahoma"/>
            <family val="2"/>
          </rPr>
          <t>Enter the amount of product being sold, in whatever units it is normally counted.  The units for quantity should be consistent with the price for that commodity.</t>
        </r>
      </text>
    </comment>
    <comment ref="F7" authorId="3">
      <text>
        <r>
          <rPr>
            <b/>
            <sz val="8"/>
            <rFont val="Tahoma"/>
            <family val="2"/>
          </rPr>
          <t>Enter the name of the measurement unit for the commodity being sold (eg., Tons, bushels, lbs., etc.).  If there are multiple commodities, they could be measured in different units;  for example, grass seed in lb. and straw in tons.  Your Break-even commodities should all be measured in the same units and in order for the right unit name to appear in yield and price sensitivity tables, the first product listed should be one of the break-even products.</t>
        </r>
      </text>
    </comment>
    <comment ref="G7" authorId="3">
      <text>
        <r>
          <rPr>
            <b/>
            <sz val="8"/>
            <rFont val="Tahoma"/>
            <family val="2"/>
          </rPr>
          <t>Enter the sales price per unit for each product being sold.  Be sure the price unit is consistent with how the product is measured.</t>
        </r>
      </text>
    </comment>
    <comment ref="B41" authorId="3">
      <text>
        <r>
          <rPr>
            <b/>
            <sz val="8"/>
            <rFont val="Tahoma"/>
            <family val="2"/>
          </rPr>
          <t>Cash fixed costs are those which you actually have to pay for out-of-pocket.  As such, they are the next priority, after variable costs, to be recovered by revenues.</t>
        </r>
      </text>
    </comment>
    <comment ref="B45" authorId="3">
      <text>
        <r>
          <rPr>
            <b/>
            <sz val="8"/>
            <rFont val="Tahoma"/>
            <family val="2"/>
          </rPr>
          <t xml:space="preserve">Noncash fixed costs are ones which do not have to be paid with a financial expenditure.  The main items included here are depreciation and opportunity cost (interest) on invested capital.  These two together are sometimes referred to as "capital recovery".  
If your crop is a perennial and this is a budget for full production years, be sure to include an annual cost for the establishment of the perennial crop.  You can calculate that cost like you would a loan payment, i.e., principal + interest to repay the "loan" of the establishment cost over the life of the stand.
</t>
        </r>
      </text>
    </comment>
    <comment ref="B25" authorId="3">
      <text>
        <r>
          <rPr>
            <b/>
            <sz val="8"/>
            <rFont val="Tahoma"/>
            <family val="2"/>
          </rPr>
          <t>This third section, no matter what label or name you give it, is intended for costs which vary directly in proportion to yield.  They are kept in a separate section because in calculating a break-even yield, these costs must be allowed to adjust with changing yield.</t>
        </r>
      </text>
    </comment>
    <comment ref="H6" authorId="3">
      <text>
        <r>
          <rPr>
            <b/>
            <sz val="8"/>
            <rFont val="Tahoma"/>
            <family val="2"/>
          </rPr>
          <t xml:space="preserve">Enter the total number of acres of this enterprise being budgeted.  This information will be needed if you wish to  calculate fixed cost allocations for durable assets within the budget spreadsheet. </t>
        </r>
        <r>
          <rPr>
            <sz val="8"/>
            <rFont val="Tahoma"/>
            <family val="0"/>
          </rPr>
          <t xml:space="preserve">
</t>
        </r>
      </text>
    </comment>
    <comment ref="F11" authorId="3">
      <text>
        <r>
          <rPr>
            <b/>
            <sz val="8"/>
            <rFont val="Tahoma"/>
            <family val="0"/>
          </rPr>
          <t xml:space="preserve">This is the yield unit of the first break-even product listed.  </t>
        </r>
      </text>
    </comment>
    <comment ref="B57" authorId="3">
      <text>
        <r>
          <rPr>
            <b/>
            <sz val="8"/>
            <rFont val="Tahoma"/>
            <family val="0"/>
          </rPr>
          <t>This price level is needed in order for returns (at the stated yields) to cover variable costs of production.  If the actual price is lower than this amount, you would lose less money by NOT producing at all (assuming, of course that all variable costs can be avoided if there is no production).</t>
        </r>
      </text>
    </comment>
    <comment ref="B58" authorId="3">
      <text>
        <r>
          <rPr>
            <b/>
            <sz val="8"/>
            <rFont val="Tahoma"/>
            <family val="0"/>
          </rPr>
          <t>This price level is needed in order for returns (at the stated yields) to cover all the costs of production, both variable and fixed.  If the actual price is lower than this amount, it means you will not be able to cover your fixed costs.  In the long run, you might be better off applying your resources to another enterprise.</t>
        </r>
      </text>
    </comment>
    <comment ref="O1" authorId="4">
      <text>
        <r>
          <rPr>
            <b/>
            <sz val="8"/>
            <rFont val="Tahoma"/>
            <family val="0"/>
          </rPr>
          <t>Jim Smith:</t>
        </r>
        <r>
          <rPr>
            <sz val="8"/>
            <rFont val="Tahoma"/>
            <family val="0"/>
          </rPr>
          <t xml:space="preserve">
This is a flag.  Do not modify or delete it.</t>
        </r>
      </text>
    </comment>
    <comment ref="B30" authorId="3">
      <text>
        <r>
          <rPr>
            <b/>
            <sz val="8"/>
            <rFont val="Tahoma"/>
            <family val="0"/>
          </rPr>
          <t>You can use this last section for miscellaneous variable costs, or a separate stage of production.</t>
        </r>
      </text>
    </comment>
    <comment ref="E36" authorId="3">
      <text>
        <r>
          <rPr>
            <b/>
            <sz val="8"/>
            <rFont val="Tahoma"/>
            <family val="0"/>
          </rPr>
          <t>The three numbers on this row depicted in unbolded font are subtotals for the Labor, Machinery and Materials columns, respectively.  The bolded number at the far right is the total for all Variable Costs.</t>
        </r>
      </text>
    </comment>
    <comment ref="B59" authorId="3">
      <text>
        <r>
          <rPr>
            <b/>
            <sz val="8"/>
            <rFont val="Tahoma"/>
            <family val="0"/>
          </rPr>
          <t>This is how much production is needed in order to recover all costs (at the assumed price).  Since this yield may be different than the assumed yield, some of the variable costs (typically harvest costs) may need to "adjust".</t>
        </r>
      </text>
    </comment>
    <comment ref="B60" authorId="3">
      <text>
        <r>
          <rPr>
            <b/>
            <sz val="8"/>
            <rFont val="Tahoma"/>
            <family val="0"/>
          </rPr>
          <t>This break-even yield calculation assumes none of the variable costs are directly proportional to yield, even if they were entered in the third subsection above.</t>
        </r>
      </text>
    </comment>
  </commentList>
</comments>
</file>

<file path=xl/comments3.xml><?xml version="1.0" encoding="utf-8"?>
<comments xmlns="http://schemas.openxmlformats.org/spreadsheetml/2006/main">
  <authors>
    <author>Bart Eleveld</author>
    <author>eleveldb</author>
    <author>Jim Smith</author>
  </authors>
  <commentList>
    <comment ref="F1" authorId="0">
      <text>
        <r>
          <rPr>
            <b/>
            <sz val="8"/>
            <rFont val="Tahoma"/>
            <family val="2"/>
          </rPr>
          <t>Fill in a "G" or "g" for machines using gasoline or a "D" or "d" for machines using diesel fuel.</t>
        </r>
        <r>
          <rPr>
            <sz val="7"/>
            <rFont val="Tahoma"/>
            <family val="0"/>
          </rPr>
          <t xml:space="preserve">
</t>
        </r>
      </text>
    </comment>
    <comment ref="C1" authorId="0">
      <text>
        <r>
          <rPr>
            <b/>
            <sz val="8"/>
            <rFont val="Tahoma"/>
            <family val="2"/>
          </rPr>
          <t>Field efficiency accounts for time lost in setting up, calibrating, moving and turning machinery.</t>
        </r>
      </text>
    </comment>
    <comment ref="H1" authorId="0">
      <text>
        <r>
          <rPr>
            <b/>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b/>
            <sz val="8"/>
            <rFont val="Tahoma"/>
            <family val="2"/>
          </rPr>
          <t>How much will the machine be worth when it it sold off or traded in?  Our default is 20% of new cost, but you can enter your own number.</t>
        </r>
      </text>
    </comment>
    <comment ref="O1" authorId="0">
      <text>
        <r>
          <rPr>
            <b/>
            <sz val="8"/>
            <rFont val="Tahoma"/>
            <family val="2"/>
          </rPr>
          <t>The longest the machine could last based on annual use and hours of useful life.</t>
        </r>
      </text>
    </comment>
    <comment ref="P1" authorId="0">
      <text>
        <r>
          <rPr>
            <b/>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b/>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b/>
            <sz val="8"/>
            <rFont val="Tahoma"/>
            <family val="2"/>
          </rPr>
          <t xml:space="preserve">Percentage of average investment value needed to cover these costs on an annual basis. </t>
        </r>
      </text>
    </comment>
    <comment ref="J1" authorId="0">
      <text>
        <r>
          <rPr>
            <b/>
            <sz val="8"/>
            <rFont val="Tahoma"/>
            <family val="2"/>
          </rPr>
          <t>Price of the machine when new or first purchased.</t>
        </r>
      </text>
    </comment>
    <comment ref="D1" authorId="0">
      <text>
        <r>
          <rPr>
            <b/>
            <sz val="8"/>
            <rFont val="Tahoma"/>
            <family val="2"/>
          </rPr>
          <t>Enter your average speed over the ground while you are actually driving the machinery.</t>
        </r>
      </text>
    </comment>
    <comment ref="M3" authorId="1">
      <text>
        <r>
          <rPr>
            <b/>
            <sz val="8"/>
            <rFont val="Tahoma"/>
            <family val="0"/>
          </rPr>
          <t xml:space="preserve">You can estimate repairs using the American Society of Agricultural Engineers equations by entering their suggested "Repair Factor 1 and 2" in these two columns.  The equation then calculates annual machine repair cost as a function of the Current List Price and the current age of the machine (older machines have higher annual repair costs).  
While this is fairly well respected for machines that are purchased new, it doesn't do as well for machines purchased used.  As an alternative, you can enter your $ estimate for annual machine repair cost, and if the number is greater than 1, the spreadsheet uses that number rather than applying the ASAE equation.  
</t>
        </r>
      </text>
    </comment>
    <comment ref="R1" authorId="2">
      <text>
        <r>
          <rPr>
            <b/>
            <sz val="8"/>
            <rFont val="Tahoma"/>
            <family val="0"/>
          </rPr>
          <t>Enter the percentage of each machine's fixed costs that should be allocated to this particular enterprise.  If a machine in the list is not used in this enterprise, leave this cell value blank or enter a zero.  The workbook will calculate costs on a per acre basis and a macro button on the "Budget" page will allow you to transfer the fixed costs to the budget.  Remember to also check the same column on the "Vehicles" page, and to check the number of acres at the top of the "Budget" page.</t>
        </r>
      </text>
    </comment>
    <comment ref="A1" authorId="1">
      <text>
        <r>
          <rPr>
            <b/>
            <sz val="8"/>
            <rFont val="Tahoma"/>
            <family val="0"/>
          </rPr>
          <t>If you don't find the machine you need in the following table you can choose one that is similar to what you need and edit the numbers.  Or, you can create a new entry at the bottom of this worksheet or on any blank line.  Either way, any changes you make here will be reflected in the machinery button on the "Budget" worksheet for future calculations.</t>
        </r>
      </text>
    </comment>
  </commentList>
</comments>
</file>

<file path=xl/comments4.xml><?xml version="1.0" encoding="utf-8"?>
<comments xmlns="http://schemas.openxmlformats.org/spreadsheetml/2006/main">
  <authors>
    <author>Bart Eleveld</author>
    <author>Jim Smith</author>
    <author>eleveldb</author>
  </authors>
  <commentList>
    <comment ref="C1" authorId="0">
      <text>
        <r>
          <rPr>
            <b/>
            <sz val="8"/>
            <rFont val="Tahoma"/>
            <family val="2"/>
          </rPr>
          <t>Fill in a "G" or "g" for vehicles  using gasoline or an upper or lower case "D" for vehicles  using diesel fuel.</t>
        </r>
      </text>
    </comment>
    <comment ref="N1" authorId="0">
      <text>
        <r>
          <rPr>
            <b/>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b/>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b/>
            <sz val="8"/>
            <rFont val="Tahoma"/>
            <family val="2"/>
          </rPr>
          <t>The longest the vehicle could last based on annual use and miles of useful life.</t>
        </r>
      </text>
    </comment>
    <comment ref="H1" authorId="0">
      <text>
        <r>
          <rPr>
            <b/>
            <sz val="8"/>
            <rFont val="Tahoma"/>
            <family val="2"/>
          </rPr>
          <t>How much will the vehicle be worth when it it sold off or traded in?  Our default is 20% of new cost, but you can enter your own number.</t>
        </r>
      </text>
    </comment>
    <comment ref="G1" authorId="0">
      <text>
        <r>
          <rPr>
            <b/>
            <sz val="8"/>
            <rFont val="Tahoma"/>
            <family val="2"/>
          </rPr>
          <t xml:space="preserve">Price of the vehicle when new or first purchased.
</t>
        </r>
      </text>
    </comment>
    <comment ref="B1" authorId="0">
      <text>
        <r>
          <rPr>
            <b/>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b/>
            <sz val="8"/>
            <rFont val="Tahoma"/>
            <family val="2"/>
          </rPr>
          <t xml:space="preserve">Enter the amount of annual use the vehicle will have in </t>
        </r>
        <r>
          <rPr>
            <b/>
            <u val="single"/>
            <sz val="8"/>
            <rFont val="Tahoma"/>
            <family val="2"/>
          </rPr>
          <t>all</t>
        </r>
        <r>
          <rPr>
            <b/>
            <sz val="8"/>
            <rFont val="Tahoma"/>
            <family val="2"/>
          </rPr>
          <t xml:space="preserve"> farm enterprises, not just the one being budgeted here.</t>
        </r>
      </text>
    </comment>
    <comment ref="O1" authorId="1">
      <text>
        <r>
          <rPr>
            <b/>
            <sz val="8"/>
            <rFont val="Tahoma"/>
            <family val="0"/>
          </rPr>
          <t>Enter the percentage of each vehicle's fixed costs that should be allocated to this particular enterprise.  If a vehicle in the list is not used in this enterprise, leave this cell value blank or enter a zero.  The workbook will calculate costs on a per acre basis and a macro button on the "Budget" page will allow you to transfer the fixed costs to the budget.  Remember to also check the same column on the "Machinery" page, and to check the number of acres at the top of the "Budget" page.</t>
        </r>
        <r>
          <rPr>
            <sz val="8"/>
            <rFont val="Tahoma"/>
            <family val="0"/>
          </rPr>
          <t xml:space="preserve">
</t>
        </r>
      </text>
    </comment>
    <comment ref="A1" authorId="2">
      <text>
        <r>
          <rPr>
            <b/>
            <sz val="8"/>
            <rFont val="Tahoma"/>
            <family val="0"/>
          </rPr>
          <t>If you don't find the vehicle you need in the following table you can choose one that is similar to what you need and edit the numbers.  Or, you can create a new entry at the bottom of this worksheet or on any blank line.  Either way, any changes you make here will be reflected in the vehicle button on the "Budget" worksheet for future calculations.</t>
        </r>
        <r>
          <rPr>
            <sz val="8"/>
            <rFont val="Tahoma"/>
            <family val="0"/>
          </rPr>
          <t xml:space="preserve">
</t>
        </r>
      </text>
    </comment>
    <comment ref="D1" authorId="2">
      <text>
        <r>
          <rPr>
            <b/>
            <sz val="8"/>
            <rFont val="Tahoma"/>
            <family val="0"/>
          </rPr>
          <t>Enter the fuel consumption rate in miles per gallon.</t>
        </r>
      </text>
    </comment>
    <comment ref="E1" authorId="2">
      <text>
        <r>
          <rPr>
            <b/>
            <sz val="8"/>
            <rFont val="Tahoma"/>
            <family val="0"/>
          </rPr>
          <t>Enter the miles of useful life for the vehicle when it was purchased.</t>
        </r>
      </text>
    </comment>
    <comment ref="I1" authorId="2">
      <text>
        <r>
          <rPr>
            <b/>
            <sz val="8"/>
            <rFont val="Tahoma"/>
            <family val="0"/>
          </rPr>
          <t>Enter your estimate of the total annual repair cost in $.</t>
        </r>
      </text>
    </comment>
    <comment ref="J1" authorId="2">
      <text>
        <r>
          <rPr>
            <b/>
            <sz val="8"/>
            <rFont val="Tahoma"/>
            <family val="0"/>
          </rPr>
          <t>Annual license and taxes in $</t>
        </r>
      </text>
    </comment>
  </commentList>
</comments>
</file>

<file path=xl/comments5.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comments6.xml><?xml version="1.0" encoding="utf-8"?>
<comments xmlns="http://schemas.openxmlformats.org/spreadsheetml/2006/main">
  <authors>
    <author>eleveldb</author>
  </authors>
  <commentList>
    <comment ref="B11" authorId="0">
      <text>
        <r>
          <rPr>
            <sz val="8"/>
            <rFont val="Tahoma"/>
            <family val="2"/>
          </rPr>
          <t>This number determines the size of your price increases and decreases from the middle value which was assumed in the budget.  The value should be between 0 and 33.33%.  A larger increment will result in negative prices which doesn't make much sense.</t>
        </r>
      </text>
    </comment>
    <comment ref="E3" authorId="0">
      <text>
        <r>
          <rPr>
            <sz val="8"/>
            <rFont val="Tahoma"/>
            <family val="2"/>
          </rPr>
          <t>This is the price assumed in the budget.  If there are several break-even products, the price shown here is the weighted average price of those products</t>
        </r>
      </text>
    </comment>
  </commentList>
</comments>
</file>

<file path=xl/comments7.xml><?xml version="1.0" encoding="utf-8"?>
<comments xmlns="http://schemas.openxmlformats.org/spreadsheetml/2006/main">
  <authors>
    <author>eleveldb</author>
  </authors>
  <commentList>
    <comment ref="B11" authorId="0">
      <text>
        <r>
          <rPr>
            <sz val="8"/>
            <rFont val="Tahoma"/>
            <family val="2"/>
          </rPr>
          <t>This number determines the size of your yield increases and decreases from the middle value which was assumed in the budget.  The value should be between 0 and 33.33%.  A larger increment will result in negative yields which doesn't make much sense.</t>
        </r>
      </text>
    </comment>
    <comment ref="E3" authorId="0">
      <text>
        <r>
          <rPr>
            <sz val="8"/>
            <rFont val="Tahoma"/>
            <family val="2"/>
          </rPr>
          <t>This is the product yield assumed in the budget.  If there are several break-even products, the yield shown here is the sum of those yields.</t>
        </r>
      </text>
    </comment>
    <comment ref="A6" authorId="0">
      <text>
        <r>
          <rPr>
            <sz val="8"/>
            <rFont val="Tahoma"/>
            <family val="2"/>
          </rPr>
          <t>Some of the variable costs may be proportional to yield, so when yield is allowed to change, variable costs "adjust" to the new levels.</t>
        </r>
      </text>
    </comment>
  </commentList>
</comments>
</file>

<file path=xl/comments8.xml><?xml version="1.0" encoding="utf-8"?>
<comments xmlns="http://schemas.openxmlformats.org/spreadsheetml/2006/main">
  <authors>
    <author>eleveldb</author>
  </authors>
  <commentList>
    <comment ref="A7" authorId="0">
      <text>
        <r>
          <rPr>
            <sz val="8"/>
            <rFont val="Tahoma"/>
            <family val="2"/>
          </rPr>
          <t>This is the price assumed in the budget.  If there are several break-even products, the price shown here is the weighted average price of those products</t>
        </r>
      </text>
    </comment>
    <comment ref="E3" authorId="0">
      <text>
        <r>
          <rPr>
            <sz val="8"/>
            <rFont val="Tahoma"/>
            <family val="2"/>
          </rPr>
          <t>This is the product yield assumed in the budget.  If there are several break-even products, the yield shown here is the sum of those yields.</t>
        </r>
      </text>
    </comment>
  </commentList>
</comments>
</file>

<file path=xl/sharedStrings.xml><?xml version="1.0" encoding="utf-8"?>
<sst xmlns="http://schemas.openxmlformats.org/spreadsheetml/2006/main" count="348" uniqueCount="252">
  <si>
    <t>ECONOMIC COSTS and RETURNS</t>
  </si>
  <si>
    <t>Materials</t>
  </si>
  <si>
    <t>quantity</t>
  </si>
  <si>
    <t>Machinery</t>
  </si>
  <si>
    <t>Labor</t>
  </si>
  <si>
    <t>Pickup</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</si>
  <si>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</si>
  <si>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</si>
  <si>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</si>
  <si>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</si>
  <si>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</si>
  <si>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</si>
  <si>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</si>
  <si>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</si>
  <si>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</si>
  <si>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</si>
  <si>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</si>
  <si>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</si>
  <si>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</si>
  <si>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</si>
  <si>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</si>
  <si>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</si>
  <si>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</si>
  <si>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</si>
  <si>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</si>
  <si>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TILLAGE EQUIPMENT</t>
  </si>
  <si>
    <t>Disk</t>
  </si>
  <si>
    <t>Field cultivator</t>
  </si>
  <si>
    <t>Harrow, spring tooth</t>
  </si>
  <si>
    <t>Plow. moldboard</t>
  </si>
  <si>
    <t>Row crop cultivator</t>
  </si>
  <si>
    <t>PLANTING EQUIPMENT</t>
  </si>
  <si>
    <t>Planter</t>
  </si>
  <si>
    <t>OTHER EQUIPMENT</t>
  </si>
  <si>
    <t>Fertilizer spreader</t>
  </si>
  <si>
    <t>Repair</t>
  </si>
  <si>
    <t>VARIABLE COST Description</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</si>
  <si>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</si>
  <si>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</si>
  <si>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</si>
  <si>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</si>
  <si>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</si>
  <si>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</si>
  <si>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</si>
  <si>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</si>
  <si>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</si>
  <si>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</si>
  <si>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</si>
  <si>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</si>
  <si>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</si>
  <si>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</si>
  <si>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</si>
  <si>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</si>
  <si>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</si>
  <si>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</si>
  <si>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</si>
  <si>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</si>
  <si>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</si>
  <si>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</si>
  <si>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</si>
  <si>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</si>
  <si>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</si>
  <si>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</si>
  <si>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</si>
  <si>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</si>
  <si>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</si>
  <si>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</si>
  <si>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</si>
  <si>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</si>
  <si>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</si>
  <si>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Calculated</t>
  </si>
  <si>
    <t>Life Span</t>
  </si>
  <si>
    <t>Maximum</t>
  </si>
  <si>
    <t>Tax, Shelter</t>
  </si>
  <si>
    <t>&amp; Insurance</t>
  </si>
  <si>
    <t>Cap. Recov.</t>
  </si>
  <si>
    <t>mi</t>
  </si>
  <si>
    <t xml:space="preserve">GROSS INCOME Description     </t>
  </si>
  <si>
    <t xml:space="preserve">Unit  </t>
  </si>
  <si>
    <t xml:space="preserve">$/Unit </t>
  </si>
  <si>
    <t xml:space="preserve">         Materials Details</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</si>
  <si>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</si>
  <si>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</si>
  <si>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</si>
  <si>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</si>
  <si>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</si>
  <si>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</si>
  <si>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</si>
  <si>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</si>
  <si>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</si>
  <si>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</si>
  <si>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</si>
  <si>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</si>
  <si>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</si>
  <si>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</si>
  <si>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</si>
  <si>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</si>
  <si>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Machine Name</t>
  </si>
  <si>
    <t>TOTALS</t>
  </si>
  <si>
    <t>material</t>
  </si>
  <si>
    <t>Vehicle Name</t>
  </si>
  <si>
    <t xml:space="preserve">Repair Factors   </t>
  </si>
  <si>
    <t>GROSS INCOME minus VAR. and CASH FIXED COST</t>
  </si>
  <si>
    <t>User's Guide</t>
  </si>
  <si>
    <t>Overview</t>
  </si>
  <si>
    <r>
      <t xml:space="preserve">     </t>
    </r>
    <r>
      <rPr>
        <b/>
        <sz val="10"/>
        <rFont val="Arial"/>
        <family val="2"/>
      </rPr>
      <t>Erik Osborn, Oregon State University, Department of Bioresources Engineering</t>
    </r>
  </si>
  <si>
    <r>
      <t xml:space="preserve">     </t>
    </r>
    <r>
      <rPr>
        <b/>
        <sz val="10"/>
        <rFont val="Arial"/>
        <family val="2"/>
      </rPr>
      <t>Hilda Winters, Wageningen Agricultural University, Farm Management Department</t>
    </r>
  </si>
  <si>
    <t>Entering Data Directly</t>
  </si>
  <si>
    <t>Any of the blue text or numbers represent places where you can enter text directly.  Just left click the cursor on the cell</t>
  </si>
  <si>
    <t>where the data should go and type in the text or numbers.</t>
  </si>
  <si>
    <t>Adding or Deleting Elements on Budget</t>
  </si>
  <si>
    <t>Calculating Machinery (or Vehicle) Costs</t>
  </si>
  <si>
    <t>Crop Enterprise Budget Calculator</t>
  </si>
  <si>
    <t>Clicking on the machinery or vehicle buttons initiates a series of pop-up windows to calculate labor, fuel and repair costs.</t>
  </si>
  <si>
    <t>Fixed costs like depreciation, interest and insurance are calculated too, but aren't entered into the budget automatically</t>
  </si>
  <si>
    <t>are shown and explained below for machinery.  The windows for vehicles are very similar.</t>
  </si>
  <si>
    <t>since these may or may not be additional or relevant costs for machinery that is already owned.  Examples of the pop-ups</t>
  </si>
  <si>
    <t>Adding machinery or vehicles</t>
  </si>
  <si>
    <t>Blank lines are available at the bottom of both the "Machinery" and "Vehicles" worksheets to allow for additional data.</t>
  </si>
  <si>
    <t>Changing Fixed Costs</t>
  </si>
  <si>
    <t>Definitions and Help Pop-ups;</t>
  </si>
  <si>
    <t>Throughout the worksheets, terminology and instructions have been entered into pop-up screens.  Cells that have pop-ups</t>
  </si>
  <si>
    <t xml:space="preserve">associated with them have a red flag on their upper right corner.  When you move the cursor over these cells, the pop up will </t>
  </si>
  <si>
    <t>appear.  Try it now on this cell:</t>
  </si>
  <si>
    <t>This software is a modified Microsoft Excel workbook (collection of worksheets). Its purpose is to allow you to estimate</t>
  </si>
  <si>
    <t>fixed</t>
  </si>
  <si>
    <t>fixed start</t>
  </si>
  <si>
    <t>fixed end</t>
  </si>
  <si>
    <t>product start</t>
  </si>
  <si>
    <t>product end</t>
  </si>
  <si>
    <t>product</t>
  </si>
  <si>
    <t>Totals</t>
  </si>
  <si>
    <t>Break-even?</t>
  </si>
  <si>
    <t>Y</t>
  </si>
  <si>
    <t>PRODUCT</t>
  </si>
  <si>
    <t>shortbreak</t>
  </si>
  <si>
    <t>longbreak</t>
  </si>
  <si>
    <r>
      <t>Long-run Break-even Yield</t>
    </r>
    <r>
      <rPr>
        <sz val="8"/>
        <rFont val="Arial"/>
        <family val="2"/>
      </rPr>
      <t xml:space="preserve"> (If harvest cost doesn't change with yield)</t>
    </r>
  </si>
  <si>
    <t xml:space="preserve">worksheet senses whether the cursor is clicked in the fixed or variable cost section and acts accordingly.  You have only one figure </t>
  </si>
  <si>
    <t>to add per row of the fixed cost section, however.  There is no labor, machinery or material column in this part of the budget.</t>
  </si>
  <si>
    <r>
      <t xml:space="preserve">Long-run Break-even Yield </t>
    </r>
    <r>
      <rPr>
        <sz val="8"/>
        <rFont val="Arial"/>
        <family val="2"/>
      </rPr>
      <t>(if harvest cost changes with yield)</t>
    </r>
  </si>
  <si>
    <t>A Word About Editing Worksheet Formulas or Formats !!!</t>
  </si>
  <si>
    <t xml:space="preserve">this workbook.  We can virtually guarantee that doing so will introduce many errors into the macros that are programmed </t>
  </si>
  <si>
    <t>Menus and Toolbars</t>
  </si>
  <si>
    <t>To add new products, operations or materials (and/or services), or to delete these same items, you need to click</t>
  </si>
  <si>
    <t>on the appropriate macro buttons on the budget page.</t>
  </si>
  <si>
    <r>
      <t xml:space="preserve">     </t>
    </r>
    <r>
      <rPr>
        <b/>
        <sz val="10"/>
        <rFont val="Arial"/>
        <family val="2"/>
      </rPr>
      <t>Jim Smith, Oregon State University, Department of Computer Science</t>
    </r>
  </si>
  <si>
    <t>Other variable costs</t>
  </si>
  <si>
    <t>CASH Fixed Costs</t>
  </si>
  <si>
    <t>NONCASH Fixed Costs</t>
  </si>
  <si>
    <t>T</t>
  </si>
  <si>
    <t>Preplant</t>
  </si>
  <si>
    <t>60 hp tractor</t>
  </si>
  <si>
    <t>70 hp tractor</t>
  </si>
  <si>
    <t>150 hp tractor</t>
  </si>
  <si>
    <t>160 hp tractor</t>
  </si>
  <si>
    <t>No till drill</t>
  </si>
  <si>
    <t>Harrow/cultivator comb.</t>
  </si>
  <si>
    <t>Roller 16 ft</t>
  </si>
  <si>
    <t>Roller 14 ft</t>
  </si>
  <si>
    <t>Plant/Postplant</t>
  </si>
  <si>
    <t>Custom harvest and haul</t>
  </si>
  <si>
    <t xml:space="preserve">Harvest  </t>
  </si>
  <si>
    <t>Hauling</t>
  </si>
  <si>
    <t>Pickup truck</t>
  </si>
  <si>
    <t>Operating Interest</t>
  </si>
  <si>
    <t>Interest</t>
  </si>
  <si>
    <t>Costs and Returns ($/Acre) at Alternative Price Levels, Assuming Yield Equals</t>
  </si>
  <si>
    <t>Returns</t>
  </si>
  <si>
    <t>Variable Cost</t>
  </si>
  <si>
    <t>Returns over 
  Variable Cost</t>
  </si>
  <si>
    <t>Fixed Cost</t>
  </si>
  <si>
    <t>Net Returns</t>
  </si>
  <si>
    <t>Costs and Returns ($/Acre) at Alternative Yield Levels, Assuming Price Equals</t>
  </si>
  <si>
    <t>Net Returns ($/Acre) at Alternative Price and Yield Levels</t>
  </si>
  <si>
    <t>Byproduct Credit</t>
  </si>
  <si>
    <t>Fixed (Ownership) Costs for Durable Investments</t>
  </si>
  <si>
    <t> </t>
  </si>
  <si>
    <t>Asset</t>
  </si>
  <si>
    <t>Purchase Price</t>
  </si>
  <si>
    <t>Salvage Value</t>
  </si>
  <si>
    <t>Useful Life</t>
  </si>
  <si>
    <t>Annual Use</t>
  </si>
  <si>
    <t>Total Fixed Cost</t>
  </si>
  <si>
    <t>Flail Chopper</t>
  </si>
  <si>
    <t>Irrigation System</t>
  </si>
  <si>
    <t>Land rent</t>
  </si>
  <si>
    <t>Fixed Cost Allocation %</t>
  </si>
  <si>
    <t>Annual Capital Recovery</t>
  </si>
  <si>
    <t>Cash Fixed Cost /Acre</t>
  </si>
  <si>
    <t>NonCash Fixed Cost/Acre</t>
  </si>
  <si>
    <t># Acres in Enterprise----&gt;</t>
  </si>
  <si>
    <t>Price Increment =</t>
  </si>
  <si>
    <t xml:space="preserve">Yield Increment = </t>
  </si>
  <si>
    <t>Tax, Ins., License &amp; shelter</t>
  </si>
  <si>
    <t>Total -----&gt;</t>
  </si>
  <si>
    <t>Harvest and Other Yield Varying Costs</t>
  </si>
  <si>
    <t>N</t>
  </si>
  <si>
    <t>Combine</t>
  </si>
  <si>
    <t>cash fixed start</t>
  </si>
  <si>
    <t>cash fixed</t>
  </si>
  <si>
    <t>cash fixed end</t>
  </si>
  <si>
    <t>noncash fixed start</t>
  </si>
  <si>
    <t>noncash fixed</t>
  </si>
  <si>
    <t>noncash fixed end</t>
  </si>
  <si>
    <t>VEHICLES</t>
  </si>
  <si>
    <t>Allocation</t>
  </si>
  <si>
    <t>The workbook consists of ten worksheets:</t>
  </si>
  <si>
    <r>
      <t xml:space="preserve">10. </t>
    </r>
    <r>
      <rPr>
        <b/>
        <sz val="10"/>
        <rFont val="Arial"/>
        <family val="2"/>
      </rPr>
      <t>Fixed Cost Summary</t>
    </r>
    <r>
      <rPr>
        <sz val="10"/>
        <rFont val="Arial"/>
        <family val="2"/>
      </rPr>
      <t xml:space="preserve"> - shows a summary table of all machinery and vehicles used in the budget and</t>
    </r>
  </si>
  <si>
    <t>Semi truck</t>
  </si>
  <si>
    <r>
      <t xml:space="preserve">1. </t>
    </r>
    <r>
      <rPr>
        <b/>
        <sz val="10"/>
        <rFont val="Arial"/>
        <family val="2"/>
      </rPr>
      <t>User's Guide</t>
    </r>
    <r>
      <rPr>
        <sz val="10"/>
        <rFont val="Arial"/>
        <family val="0"/>
      </rPr>
      <t xml:space="preserve"> - (this worksheet) an instructional guide which describes basic workbook operation.</t>
    </r>
  </si>
  <si>
    <r>
      <t xml:space="preserve">2. </t>
    </r>
    <r>
      <rPr>
        <b/>
        <sz val="10"/>
        <rFont val="Arial"/>
        <family val="2"/>
      </rPr>
      <t>Budget</t>
    </r>
    <r>
      <rPr>
        <sz val="10"/>
        <rFont val="Arial"/>
        <family val="0"/>
      </rPr>
      <t xml:space="preserve"> - outlines the revenues from product and exenses from operations and fixed costs.</t>
    </r>
  </si>
  <si>
    <r>
      <t xml:space="preserve">3. </t>
    </r>
    <r>
      <rPr>
        <b/>
        <sz val="10"/>
        <rFont val="Arial"/>
        <family val="2"/>
      </rPr>
      <t>Machinery</t>
    </r>
    <r>
      <rPr>
        <sz val="10"/>
        <rFont val="Arial"/>
        <family val="0"/>
      </rPr>
      <t xml:space="preserve"> - lists economic and performance data for your farm machinery and implements.</t>
    </r>
  </si>
  <si>
    <r>
      <t xml:space="preserve">4. </t>
    </r>
    <r>
      <rPr>
        <b/>
        <sz val="10"/>
        <rFont val="Arial"/>
        <family val="2"/>
      </rPr>
      <t>Vehicles</t>
    </r>
    <r>
      <rPr>
        <sz val="10"/>
        <rFont val="Arial"/>
        <family val="0"/>
      </rPr>
      <t xml:space="preserve"> - lists economic and performance data for vehicles such as trucks, autos and ATV's.</t>
    </r>
  </si>
  <si>
    <r>
      <t xml:space="preserve">5. </t>
    </r>
    <r>
      <rPr>
        <b/>
        <sz val="10"/>
        <rFont val="Arial"/>
        <family val="2"/>
      </rPr>
      <t>Prices &amp; Rates</t>
    </r>
    <r>
      <rPr>
        <sz val="10"/>
        <rFont val="Arial"/>
        <family val="2"/>
      </rPr>
      <t xml:space="preserve"> - lists basic fuel, labor and interest rates used in the budget.</t>
    </r>
  </si>
  <si>
    <r>
      <t xml:space="preserve">6. </t>
    </r>
    <r>
      <rPr>
        <b/>
        <sz val="10"/>
        <rFont val="Arial"/>
        <family val="2"/>
      </rPr>
      <t>Price chg</t>
    </r>
    <r>
      <rPr>
        <sz val="10"/>
        <rFont val="Arial"/>
        <family val="2"/>
      </rPr>
      <t xml:space="preserve"> - shows the sensitivity of net returns to product price changes.</t>
    </r>
  </si>
  <si>
    <r>
      <t xml:space="preserve">7. </t>
    </r>
    <r>
      <rPr>
        <b/>
        <sz val="10"/>
        <rFont val="Arial"/>
        <family val="2"/>
      </rPr>
      <t>Yield chg</t>
    </r>
    <r>
      <rPr>
        <sz val="10"/>
        <rFont val="Arial"/>
        <family val="2"/>
      </rPr>
      <t xml:space="preserve"> - shows the sensitiivity of net returns to product yield changes.</t>
    </r>
  </si>
  <si>
    <r>
      <t xml:space="preserve">8. </t>
    </r>
    <r>
      <rPr>
        <b/>
        <sz val="10"/>
        <rFont val="Arial"/>
        <family val="2"/>
      </rPr>
      <t>P&amp;Y chg</t>
    </r>
    <r>
      <rPr>
        <sz val="10"/>
        <rFont val="Arial"/>
        <family val="2"/>
      </rPr>
      <t xml:space="preserve"> - shows the sensitivity of net returns to simultaneous price and yield changes.</t>
    </r>
  </si>
  <si>
    <r>
      <t xml:space="preserve">9. </t>
    </r>
    <r>
      <rPr>
        <b/>
        <sz val="10"/>
        <rFont val="Arial"/>
        <family val="2"/>
      </rPr>
      <t>Sensitivity Graph</t>
    </r>
    <r>
      <rPr>
        <sz val="10"/>
        <rFont val="Arial"/>
        <family val="2"/>
      </rPr>
      <t xml:space="preserve"> - shows graphically the P&amp;Y change sensitivity.</t>
    </r>
  </si>
  <si>
    <t xml:space="preserve">     a whole farm estimate of fixed costs that the user can optionally include in the budget.  There is also</t>
  </si>
  <si>
    <t xml:space="preserve">     a hidden worksheet called "Fixed Costs" that is only used for calculations and is not suitable for </t>
  </si>
  <si>
    <t xml:space="preserve">     display or printing.</t>
  </si>
  <si>
    <t>lbs.</t>
  </si>
  <si>
    <t>Also note that if you modify the data here, those changes will be carried into the pop-ups described earlier.</t>
  </si>
  <si>
    <t xml:space="preserve">Rows may be added or deleted from the fixed cost section by using the "Add ..." or "Delete Operations" buttons described above.  The </t>
  </si>
  <si>
    <t>Sensitivity Analysis</t>
  </si>
  <si>
    <t>An important risk analysis tool is to look into the sensitivity of budget results to the assumptions made about  the price and yield</t>
  </si>
  <si>
    <t xml:space="preserve">of the enterprise product.  There are separate pages or tabs for price and yield sensitivity.  The user can specify how large the </t>
  </si>
  <si>
    <t>increment should be for price and yield variation.</t>
  </si>
  <si>
    <t xml:space="preserve"> </t>
  </si>
  <si>
    <t xml:space="preserve">the per-acre costs and returns of producing a crop.  </t>
  </si>
  <si>
    <t>(Our apologies for the small size of print on the illustration above).  It was necessary to shrink it to show the whole table width)</t>
  </si>
  <si>
    <t xml:space="preserve">If these worksheets do not show the menus and toolbar options of Excel that you are used to, it may be because we have </t>
  </si>
  <si>
    <t xml:space="preserve">turned them off to give a cleaner, uncluttered appearance.  This may also depend on your default Excel settings.  You can </t>
  </si>
  <si>
    <r>
      <t xml:space="preserve">make the menus and toolbars reappear by using, from the main menu, </t>
    </r>
    <r>
      <rPr>
        <b/>
        <i/>
        <u val="single"/>
        <sz val="10"/>
        <rFont val="Arial"/>
        <family val="2"/>
      </rPr>
      <t>V</t>
    </r>
    <r>
      <rPr>
        <b/>
        <i/>
        <sz val="10"/>
        <rFont val="Arial"/>
        <family val="2"/>
      </rPr>
      <t xml:space="preserve">iew, </t>
    </r>
    <r>
      <rPr>
        <b/>
        <i/>
        <u val="single"/>
        <sz val="10"/>
        <rFont val="Arial"/>
        <family val="2"/>
      </rPr>
      <t>T</t>
    </r>
    <r>
      <rPr>
        <b/>
        <i/>
        <sz val="10"/>
        <rFont val="Arial"/>
        <family val="2"/>
      </rPr>
      <t>oolbars</t>
    </r>
    <r>
      <rPr>
        <sz val="10"/>
        <rFont val="Arial"/>
        <family val="2"/>
      </rPr>
      <t>, and then make your selections.</t>
    </r>
  </si>
  <si>
    <t>The "Sensitivity Graph" page shows the same data as the sensitivity tables in a visual form.</t>
  </si>
  <si>
    <t>you probably know how to turn protection off and may be tempted to tinker with our formulas and the structure or design of</t>
  </si>
  <si>
    <r>
      <t>!!!!! Don't !!!!!</t>
    </r>
    <r>
      <rPr>
        <sz val="14"/>
        <color indexed="10"/>
        <rFont val="Arial"/>
        <family val="2"/>
      </rPr>
      <t xml:space="preserve">   </t>
    </r>
    <r>
      <rPr>
        <sz val="10"/>
        <color indexed="8"/>
        <rFont val="Arial"/>
        <family val="2"/>
      </rPr>
      <t>Although this workbook is tightly protected, if you are an experienced spreadsheet programmer</t>
    </r>
  </si>
  <si>
    <t xml:space="preserve">to perform data addition or deletion of data thereby disabling the macros.  The greater risk is that it will most likely also </t>
  </si>
  <si>
    <t>invalidate the accuracy of results !!!!</t>
  </si>
  <si>
    <t>Tax, Ins., License &amp; Shelter</t>
  </si>
  <si>
    <t>by Bart Eleveld, Oregon State University, Dept. of Ag. and Resource Economics</t>
  </si>
  <si>
    <t>Product #1</t>
  </si>
  <si>
    <t>Product #2</t>
  </si>
  <si>
    <t>Byproduct</t>
  </si>
  <si>
    <t>Example operation</t>
  </si>
  <si>
    <t>Service (per acre)</t>
  </si>
  <si>
    <t>Material (per unit appl)</t>
  </si>
  <si>
    <t>Tax, Insurance, License and Shelter</t>
  </si>
  <si>
    <t>Example Crop Budget</t>
  </si>
  <si>
    <t>Hypothetical commodity, per acre, 100 acre size of enterprise</t>
  </si>
  <si>
    <t>(This is a hypothetical, example budget)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</si>
</sst>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 numFmtId="174" formatCode="0.000"/>
    <numFmt numFmtId="175" formatCode="&quot;$&quot;#,##0.000\ ;\(&quot;$&quot;#,##0.000\)"/>
    <numFmt numFmtId="176" formatCode="#,##0.000"/>
    <numFmt numFmtId="177" formatCode="#,##0.0"/>
    <numFmt numFmtId="178" formatCode="&quot;$&quot;#,##0.0_);\(&quot;$&quot;#,##0.0\)"/>
    <numFmt numFmtId="179" formatCode="&quot;$&quot;#,##0"/>
    <numFmt numFmtId="180" formatCode="[$-409]dddd\,\ mmmm\ dd\,\ yyyy"/>
    <numFmt numFmtId="181" formatCode="[$-409]h:mm:ss\ AM/PM"/>
    <numFmt numFmtId="182" formatCode="&quot;$&quot;#,##0.0"/>
  </numFmts>
  <fonts count="45">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8"/>
      <name val="Tahoma"/>
      <family val="2"/>
    </font>
    <font>
      <b/>
      <sz val="14"/>
      <name val="Arial"/>
      <family val="2"/>
    </font>
    <font>
      <b/>
      <i/>
      <sz val="12"/>
      <name val="Arial"/>
      <family val="2"/>
    </font>
    <font>
      <b/>
      <i/>
      <sz val="10"/>
      <name val="Arial"/>
      <family val="2"/>
    </font>
    <font>
      <b/>
      <sz val="10"/>
      <color indexed="12"/>
      <name val="Arial"/>
      <family val="2"/>
    </font>
    <font>
      <u val="single"/>
      <sz val="10"/>
      <color indexed="36"/>
      <name val="Arial"/>
      <family val="0"/>
    </font>
    <font>
      <sz val="10"/>
      <name val="Tahoma"/>
      <family val="0"/>
    </font>
    <font>
      <sz val="8"/>
      <name val="Arial"/>
      <family val="2"/>
    </font>
    <font>
      <b/>
      <i/>
      <u val="single"/>
      <sz val="10"/>
      <name val="Arial"/>
      <family val="2"/>
    </font>
    <font>
      <b/>
      <sz val="18"/>
      <name val="Arial"/>
      <family val="0"/>
    </font>
    <font>
      <b/>
      <sz val="12"/>
      <name val="Arial"/>
      <family val="0"/>
    </font>
    <font>
      <i/>
      <sz val="10"/>
      <name val="Arial"/>
      <family val="2"/>
    </font>
    <font>
      <b/>
      <i/>
      <sz val="10"/>
      <color indexed="12"/>
      <name val="Arial"/>
      <family val="2"/>
    </font>
    <font>
      <b/>
      <sz val="13"/>
      <name val="Arial"/>
      <family val="2"/>
    </font>
    <font>
      <b/>
      <sz val="9"/>
      <name val="Arial"/>
      <family val="2"/>
    </font>
    <font>
      <sz val="9"/>
      <name val="Arial"/>
      <family val="2"/>
    </font>
    <font>
      <b/>
      <i/>
      <sz val="16"/>
      <name val="Arial"/>
      <family val="2"/>
    </font>
    <font>
      <b/>
      <sz val="20"/>
      <name val="Arial"/>
      <family val="2"/>
    </font>
    <font>
      <sz val="12"/>
      <name val="Arial"/>
      <family val="0"/>
    </font>
    <font>
      <b/>
      <u val="single"/>
      <sz val="10"/>
      <name val="Arial"/>
      <family val="2"/>
    </font>
    <font>
      <b/>
      <sz val="18"/>
      <color indexed="10"/>
      <name val="Arial"/>
      <family val="2"/>
    </font>
    <font>
      <b/>
      <i/>
      <u val="single"/>
      <sz val="14"/>
      <color indexed="10"/>
      <name val="Arial"/>
      <family val="2"/>
    </font>
    <font>
      <b/>
      <sz val="9"/>
      <name val="Tahoma"/>
      <family val="2"/>
    </font>
    <font>
      <b/>
      <u val="single"/>
      <sz val="8"/>
      <name val="Tahoma"/>
      <family val="2"/>
    </font>
    <font>
      <sz val="14"/>
      <color indexed="10"/>
      <name val="Arial"/>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18"/>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25">
    <border>
      <left/>
      <right/>
      <top/>
      <bottom/>
      <diagonal/>
    </border>
    <border>
      <left>
        <color indexed="63"/>
      </left>
      <right>
        <color indexed="63"/>
      </right>
      <top style="double">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double"/>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double"/>
      <right style="thin"/>
      <top style="thin"/>
      <bottom style="thin"/>
    </border>
    <border>
      <left style="double"/>
      <right style="thin"/>
      <top>
        <color indexed="63"/>
      </top>
      <bottom>
        <color indexed="63"/>
      </bottom>
    </border>
    <border>
      <left style="double"/>
      <right style="thin"/>
      <top style="double"/>
      <bottom style="thin"/>
    </border>
    <border>
      <left style="double"/>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s>
  <cellStyleXfs count="3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0" fontId="0" fillId="0" borderId="0">
      <alignment vertical="top"/>
      <protection/>
    </xf>
    <xf numFmtId="9" fontId="0" fillId="0" borderId="0" applyFont="0" applyFill="0" applyBorder="0" applyAlignment="0" applyProtection="0"/>
    <xf numFmtId="0" fontId="0" fillId="0" borderId="1" applyNumberFormat="0" applyFont="0" applyFill="0" applyAlignment="0" applyProtection="0"/>
  </cellStyleXfs>
  <cellXfs count="329">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4" fillId="2" borderId="0" xfId="0" applyFon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0" fontId="5" fillId="3" borderId="0" xfId="0" applyFont="1" applyFill="1" applyAlignment="1">
      <alignment/>
    </xf>
    <xf numFmtId="0" fontId="1" fillId="2" borderId="2" xfId="0" applyFont="1" applyFill="1" applyBorder="1" applyAlignment="1" applyProtection="1">
      <alignment/>
      <protection locked="0"/>
    </xf>
    <xf numFmtId="0" fontId="1" fillId="2" borderId="2"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5" fillId="3" borderId="2" xfId="0" applyFont="1" applyFill="1" applyBorder="1" applyAlignment="1" applyProtection="1">
      <alignment horizontal="right"/>
      <protection hidden="1"/>
    </xf>
    <xf numFmtId="0" fontId="7" fillId="3" borderId="2"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0" fillId="2" borderId="0" xfId="0" applyFont="1" applyFill="1" applyAlignment="1" applyProtection="1">
      <alignment/>
      <protection locked="0"/>
    </xf>
    <xf numFmtId="0" fontId="6" fillId="3" borderId="0" xfId="0" applyFont="1" applyFill="1" applyAlignment="1" applyProtection="1">
      <alignment horizontal="right"/>
      <protection hidden="1"/>
    </xf>
    <xf numFmtId="0" fontId="15" fillId="3" borderId="0" xfId="0" applyFont="1" applyFill="1" applyAlignment="1" applyProtection="1">
      <alignment horizontal="right"/>
      <protection hidden="1"/>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7" fillId="3" borderId="0" xfId="0" applyFont="1" applyFill="1" applyAlignment="1" applyProtection="1">
      <alignment/>
      <protection locked="0"/>
    </xf>
    <xf numFmtId="0" fontId="5" fillId="3" borderId="0" xfId="0" applyFont="1" applyFill="1" applyAlignment="1" applyProtection="1">
      <alignment/>
      <protection locked="0"/>
    </xf>
    <xf numFmtId="0" fontId="18" fillId="2" borderId="3" xfId="0" applyFont="1" applyFill="1" applyBorder="1" applyAlignment="1" applyProtection="1">
      <alignment/>
      <protection hidden="1"/>
    </xf>
    <xf numFmtId="0" fontId="18" fillId="4" borderId="3" xfId="0" applyFont="1" applyFill="1" applyBorder="1" applyAlignment="1" applyProtection="1">
      <alignment/>
      <protection hidden="1"/>
    </xf>
    <xf numFmtId="0" fontId="10" fillId="4" borderId="3" xfId="0" applyFont="1" applyFill="1" applyBorder="1" applyAlignment="1" applyProtection="1">
      <alignment/>
      <protection hidden="1"/>
    </xf>
    <xf numFmtId="0" fontId="10" fillId="2" borderId="0" xfId="0" applyFont="1" applyFill="1" applyAlignment="1" applyProtection="1">
      <alignment/>
      <protection hidden="1"/>
    </xf>
    <xf numFmtId="0" fontId="18" fillId="2" borderId="0" xfId="0" applyFont="1" applyFill="1" applyAlignment="1" applyProtection="1">
      <alignment/>
      <protection hidden="1"/>
    </xf>
    <xf numFmtId="0" fontId="1" fillId="3" borderId="3" xfId="0" applyFont="1" applyFill="1" applyBorder="1" applyAlignment="1" applyProtection="1">
      <alignment/>
      <protection hidden="1"/>
    </xf>
    <xf numFmtId="0" fontId="0" fillId="5" borderId="2" xfId="0" applyFont="1" applyFill="1" applyBorder="1" applyAlignment="1" applyProtection="1">
      <alignment/>
      <protection hidden="1"/>
    </xf>
    <xf numFmtId="0" fontId="0" fillId="5" borderId="4" xfId="0" applyFont="1" applyFill="1" applyBorder="1" applyAlignment="1" applyProtection="1">
      <alignment/>
      <protection hidden="1"/>
    </xf>
    <xf numFmtId="0" fontId="0" fillId="2" borderId="5" xfId="0" applyFont="1" applyFill="1" applyBorder="1" applyAlignment="1" applyProtection="1">
      <alignment/>
      <protection hidden="1"/>
    </xf>
    <xf numFmtId="0" fontId="18" fillId="6" borderId="6" xfId="0" applyFont="1" applyFill="1" applyBorder="1" applyAlignment="1" applyProtection="1">
      <alignment/>
      <protection hidden="1"/>
    </xf>
    <xf numFmtId="0" fontId="18" fillId="6" borderId="6" xfId="0" applyFont="1" applyFill="1" applyBorder="1" applyAlignment="1" applyProtection="1">
      <alignment horizontal="left"/>
      <protection hidden="1"/>
    </xf>
    <xf numFmtId="0" fontId="1" fillId="5" borderId="0" xfId="0" applyFont="1" applyFill="1" applyBorder="1" applyAlignment="1" applyProtection="1">
      <alignment horizontal="left" indent="1"/>
      <protection hidden="1" locked="0"/>
    </xf>
    <xf numFmtId="0" fontId="16" fillId="3" borderId="0" xfId="0" applyFont="1" applyFill="1" applyBorder="1" applyAlignment="1" applyProtection="1">
      <alignment/>
      <protection hidden="1"/>
    </xf>
    <xf numFmtId="165" fontId="1" fillId="5" borderId="0" xfId="0" applyNumberFormat="1" applyFont="1" applyFill="1" applyAlignment="1" applyProtection="1">
      <alignment/>
      <protection locked="0"/>
    </xf>
    <xf numFmtId="0" fontId="1" fillId="5" borderId="0" xfId="0" applyFont="1" applyFill="1" applyAlignment="1" applyProtection="1">
      <alignment/>
      <protection locked="0"/>
    </xf>
    <xf numFmtId="0" fontId="1" fillId="5" borderId="0" xfId="0" applyFont="1" applyFill="1" applyAlignment="1" applyProtection="1" quotePrefix="1">
      <alignment/>
      <protection locked="0"/>
    </xf>
    <xf numFmtId="0" fontId="1" fillId="5" borderId="0" xfId="0" applyNumberFormat="1" applyFont="1" applyFill="1" applyAlignment="1" applyProtection="1" quotePrefix="1">
      <alignment/>
      <protection locked="0"/>
    </xf>
    <xf numFmtId="164" fontId="4" fillId="5"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7"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6"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2" fontId="4" fillId="5" borderId="0" xfId="0" applyNumberFormat="1" applyFont="1" applyFill="1" applyAlignment="1" applyProtection="1">
      <alignment horizontal="right"/>
      <protection hidden="1"/>
    </xf>
    <xf numFmtId="0" fontId="5" fillId="3" borderId="0" xfId="0" applyFont="1" applyFill="1" applyAlignment="1">
      <alignment horizontal="right"/>
    </xf>
    <xf numFmtId="0" fontId="1" fillId="5" borderId="0" xfId="0" applyFont="1" applyFill="1" applyAlignment="1" applyProtection="1">
      <alignment horizontal="right"/>
      <protection locked="0"/>
    </xf>
    <xf numFmtId="0" fontId="20" fillId="0" borderId="0" xfId="0" applyFont="1" applyAlignment="1" applyProtection="1">
      <alignment/>
      <protection/>
    </xf>
    <xf numFmtId="0" fontId="0" fillId="0" borderId="0" xfId="0" applyAlignment="1" applyProtection="1">
      <alignment/>
      <protection/>
    </xf>
    <xf numFmtId="0" fontId="21" fillId="0" borderId="0" xfId="0" applyFont="1" applyAlignment="1" applyProtection="1">
      <alignment/>
      <protection/>
    </xf>
    <xf numFmtId="0" fontId="18" fillId="0" borderId="0" xfId="0" applyFont="1" applyAlignment="1" applyProtection="1">
      <alignment/>
      <protection/>
    </xf>
    <xf numFmtId="0" fontId="21" fillId="0" borderId="0" xfId="0" applyFont="1" applyAlignment="1">
      <alignment/>
    </xf>
    <xf numFmtId="0" fontId="0" fillId="0" borderId="7" xfId="0" applyBorder="1" applyAlignment="1">
      <alignment/>
    </xf>
    <xf numFmtId="0" fontId="5" fillId="3" borderId="3" xfId="0" applyFont="1" applyFill="1" applyBorder="1" applyAlignment="1" applyProtection="1">
      <alignment/>
      <protection locked="0"/>
    </xf>
    <xf numFmtId="0" fontId="4" fillId="0" borderId="0" xfId="0" applyFont="1" applyFill="1" applyAlignment="1" applyProtection="1">
      <alignment/>
      <protection hidden="1" locked="0"/>
    </xf>
    <xf numFmtId="0" fontId="4" fillId="0" borderId="0" xfId="0" applyFont="1" applyFill="1" applyAlignment="1" applyProtection="1">
      <alignment/>
      <protection hidden="1"/>
    </xf>
    <xf numFmtId="0" fontId="0" fillId="2" borderId="8" xfId="0" applyFont="1" applyFill="1" applyBorder="1" applyAlignment="1" applyProtection="1">
      <alignment/>
      <protection hidden="1"/>
    </xf>
    <xf numFmtId="0" fontId="23" fillId="6" borderId="6" xfId="0" applyFont="1" applyFill="1" applyBorder="1" applyAlignment="1" applyProtection="1">
      <alignment/>
      <protection locked="0"/>
    </xf>
    <xf numFmtId="0" fontId="18" fillId="6" borderId="6" xfId="0" applyFont="1" applyFill="1" applyBorder="1" applyAlignment="1" applyProtection="1">
      <alignment/>
      <protection hidden="1"/>
    </xf>
    <xf numFmtId="0" fontId="18" fillId="6" borderId="6" xfId="0" applyFont="1" applyFill="1" applyBorder="1" applyAlignment="1" applyProtection="1">
      <alignment/>
      <protection/>
    </xf>
    <xf numFmtId="0" fontId="4" fillId="8" borderId="0" xfId="0" applyFont="1" applyFill="1" applyAlignment="1" applyProtection="1">
      <alignment/>
      <protection hidden="1" locked="0"/>
    </xf>
    <xf numFmtId="0" fontId="1" fillId="2" borderId="3" xfId="0" applyFont="1" applyFill="1" applyBorder="1" applyAlignment="1" applyProtection="1">
      <alignment horizontal="left" indent="2"/>
      <protection hidden="1" locked="0"/>
    </xf>
    <xf numFmtId="0" fontId="18" fillId="4" borderId="6" xfId="0" applyFont="1" applyFill="1" applyBorder="1" applyAlignment="1" applyProtection="1">
      <alignment/>
      <protection hidden="1"/>
    </xf>
    <xf numFmtId="0" fontId="16" fillId="3" borderId="3" xfId="0" applyFont="1" applyFill="1" applyBorder="1" applyAlignment="1" applyProtection="1">
      <alignment/>
      <protection hidden="1"/>
    </xf>
    <xf numFmtId="2" fontId="4" fillId="0" borderId="0" xfId="0" applyNumberFormat="1" applyFont="1" applyFill="1" applyAlignment="1" applyProtection="1">
      <alignment/>
      <protection hidden="1"/>
    </xf>
    <xf numFmtId="0" fontId="23" fillId="6" borderId="3" xfId="0" applyFont="1" applyFill="1" applyBorder="1" applyAlignment="1" applyProtection="1">
      <alignment/>
      <protection locked="0"/>
    </xf>
    <xf numFmtId="0" fontId="23" fillId="6" borderId="3" xfId="0" applyFont="1" applyFill="1" applyBorder="1" applyAlignment="1" applyProtection="1">
      <alignment/>
      <protection locked="0"/>
    </xf>
    <xf numFmtId="0" fontId="22" fillId="0" borderId="0" xfId="0" applyFont="1" applyAlignment="1">
      <alignment/>
    </xf>
    <xf numFmtId="0" fontId="0" fillId="0" borderId="0" xfId="0" applyFont="1" applyAlignment="1">
      <alignment/>
    </xf>
    <xf numFmtId="0" fontId="1" fillId="2" borderId="3" xfId="0" applyFont="1" applyFill="1" applyBorder="1" applyAlignment="1" applyProtection="1">
      <alignment horizontal="left" indent="2"/>
      <protection locked="0"/>
    </xf>
    <xf numFmtId="0" fontId="1" fillId="5" borderId="0" xfId="0" applyFont="1" applyFill="1" applyBorder="1" applyAlignment="1" applyProtection="1">
      <alignment horizontal="left" indent="1"/>
      <protection locked="0"/>
    </xf>
    <xf numFmtId="0" fontId="1" fillId="5" borderId="9" xfId="0" applyFont="1" applyFill="1" applyBorder="1" applyAlignment="1" applyProtection="1">
      <alignment horizontal="left" indent="1"/>
      <protection locked="0"/>
    </xf>
    <xf numFmtId="0" fontId="1" fillId="9" borderId="0" xfId="0" applyFont="1" applyFill="1" applyBorder="1" applyAlignment="1" applyProtection="1">
      <alignment horizontal="left" indent="1"/>
      <protection hidden="1" locked="0"/>
    </xf>
    <xf numFmtId="0" fontId="1" fillId="2" borderId="0" xfId="0" applyFont="1" applyFill="1" applyBorder="1" applyAlignment="1" applyProtection="1">
      <alignment horizontal="left" indent="2"/>
      <protection locked="0"/>
    </xf>
    <xf numFmtId="0" fontId="0" fillId="0" borderId="0" xfId="30">
      <alignment/>
      <protection/>
    </xf>
    <xf numFmtId="3" fontId="0" fillId="0" borderId="0" xfId="30" applyNumberFormat="1">
      <alignment/>
      <protection/>
    </xf>
    <xf numFmtId="9" fontId="31" fillId="0" borderId="0" xfId="31" applyFont="1" applyAlignment="1" applyProtection="1">
      <alignment/>
      <protection locked="0"/>
    </xf>
    <xf numFmtId="0" fontId="0" fillId="0" borderId="0" xfId="30" applyAlignment="1" applyProtection="1">
      <alignment wrapText="1"/>
      <protection/>
    </xf>
    <xf numFmtId="0" fontId="0" fillId="0" borderId="0" xfId="30" applyProtection="1">
      <alignment/>
      <protection/>
    </xf>
    <xf numFmtId="0" fontId="0" fillId="0" borderId="6" xfId="30" applyBorder="1" applyProtection="1">
      <alignment/>
      <protection/>
    </xf>
    <xf numFmtId="0" fontId="30" fillId="0" borderId="6" xfId="30" applyFont="1" applyBorder="1" applyProtection="1">
      <alignment/>
      <protection/>
    </xf>
    <xf numFmtId="0" fontId="0" fillId="0" borderId="3" xfId="30" applyBorder="1" applyProtection="1">
      <alignment/>
      <protection/>
    </xf>
    <xf numFmtId="3" fontId="0" fillId="0" borderId="3" xfId="30" applyNumberFormat="1" applyBorder="1" applyProtection="1">
      <alignment/>
      <protection/>
    </xf>
    <xf numFmtId="0" fontId="0" fillId="0" borderId="0" xfId="30" applyFont="1" applyProtection="1">
      <alignment/>
      <protection/>
    </xf>
    <xf numFmtId="3" fontId="0" fillId="0" borderId="0" xfId="30" applyNumberFormat="1" applyProtection="1">
      <alignment/>
      <protection/>
    </xf>
    <xf numFmtId="0" fontId="0" fillId="0" borderId="0" xfId="30" applyFont="1" applyAlignment="1" applyProtection="1">
      <alignment wrapText="1"/>
      <protection/>
    </xf>
    <xf numFmtId="0" fontId="0" fillId="0" borderId="3" xfId="30" applyFont="1" applyBorder="1" applyProtection="1">
      <alignment/>
      <protection/>
    </xf>
    <xf numFmtId="0" fontId="0" fillId="0" borderId="0" xfId="30" applyFont="1" applyProtection="1">
      <alignment/>
      <protection/>
    </xf>
    <xf numFmtId="5" fontId="18" fillId="0" borderId="0" xfId="20" applyNumberFormat="1" applyFont="1" applyAlignment="1" applyProtection="1">
      <alignment/>
      <protection/>
    </xf>
    <xf numFmtId="177" fontId="10" fillId="0" borderId="6" xfId="30" applyNumberFormat="1" applyFont="1" applyBorder="1" applyProtection="1">
      <alignment/>
      <protection/>
    </xf>
    <xf numFmtId="0" fontId="18" fillId="0" borderId="3" xfId="30" applyFont="1" applyBorder="1" applyProtection="1">
      <alignment/>
      <protection/>
    </xf>
    <xf numFmtId="0" fontId="34" fillId="0" borderId="0" xfId="30" applyFont="1" applyAlignment="1" applyProtection="1">
      <alignment/>
      <protection/>
    </xf>
    <xf numFmtId="0" fontId="34" fillId="0" borderId="0" xfId="30" applyFont="1">
      <alignment/>
      <protection/>
    </xf>
    <xf numFmtId="0" fontId="34" fillId="0" borderId="0" xfId="30" applyFont="1" applyAlignment="1" applyProtection="1">
      <alignment wrapText="1"/>
      <protection/>
    </xf>
    <xf numFmtId="4" fontId="33" fillId="0" borderId="0" xfId="30" applyNumberFormat="1" applyFont="1" applyAlignment="1" applyProtection="1">
      <alignment/>
      <protection/>
    </xf>
    <xf numFmtId="0" fontId="33" fillId="0" borderId="0" xfId="30" applyFont="1" applyAlignment="1" applyProtection="1">
      <alignment wrapText="1"/>
      <protection/>
    </xf>
    <xf numFmtId="0" fontId="30" fillId="0" borderId="9" xfId="30" applyFont="1" applyBorder="1" applyProtection="1">
      <alignment/>
      <protection/>
    </xf>
    <xf numFmtId="0" fontId="30" fillId="0" borderId="0" xfId="30" applyFont="1">
      <alignment/>
      <protection/>
    </xf>
    <xf numFmtId="0" fontId="30" fillId="0" borderId="0" xfId="30" applyFont="1" applyBorder="1" applyProtection="1">
      <alignment/>
      <protection/>
    </xf>
    <xf numFmtId="0" fontId="33" fillId="0" borderId="3" xfId="30" applyFont="1" applyBorder="1" applyAlignment="1" applyProtection="1">
      <alignment/>
      <protection/>
    </xf>
    <xf numFmtId="3" fontId="0" fillId="10" borderId="0" xfId="30" applyNumberFormat="1" applyFill="1" applyProtection="1">
      <alignment/>
      <protection/>
    </xf>
    <xf numFmtId="3" fontId="0" fillId="10" borderId="3" xfId="30" applyNumberFormat="1" applyFill="1" applyBorder="1" applyProtection="1">
      <alignment/>
      <protection/>
    </xf>
    <xf numFmtId="177" fontId="10" fillId="10" borderId="6" xfId="30" applyNumberFormat="1" applyFont="1" applyFill="1" applyBorder="1" applyProtection="1">
      <alignment/>
      <protection/>
    </xf>
    <xf numFmtId="0" fontId="0" fillId="0" borderId="0" xfId="0" applyFill="1" applyAlignment="1" applyProtection="1">
      <alignment/>
      <protection locked="0"/>
    </xf>
    <xf numFmtId="4" fontId="0" fillId="0" borderId="0" xfId="0" applyNumberFormat="1" applyAlignment="1" applyProtection="1">
      <alignment/>
      <protection locked="0"/>
    </xf>
    <xf numFmtId="0" fontId="0" fillId="0" borderId="0" xfId="0" applyAlignment="1" applyProtection="1">
      <alignment/>
      <protection locked="0"/>
    </xf>
    <xf numFmtId="0" fontId="0" fillId="0" borderId="0" xfId="0" applyAlignment="1" applyProtection="1">
      <alignment horizontal="right" wrapText="1"/>
      <protection locked="0"/>
    </xf>
    <xf numFmtId="0" fontId="22" fillId="0" borderId="9" xfId="30" applyFont="1" applyBorder="1" applyAlignment="1" applyProtection="1">
      <alignment horizontal="center"/>
      <protection/>
    </xf>
    <xf numFmtId="0" fontId="22" fillId="0" borderId="6" xfId="30" applyFont="1" applyBorder="1" applyAlignment="1" applyProtection="1">
      <alignment horizontal="center"/>
      <protection/>
    </xf>
    <xf numFmtId="0" fontId="36" fillId="0" borderId="0" xfId="0" applyFont="1" applyFill="1" applyAlignment="1" applyProtection="1">
      <alignment/>
      <protection/>
    </xf>
    <xf numFmtId="0" fontId="0" fillId="0" borderId="0" xfId="0" applyFill="1" applyAlignment="1" applyProtection="1">
      <alignment/>
      <protection/>
    </xf>
    <xf numFmtId="4" fontId="0" fillId="0" borderId="0" xfId="0" applyNumberFormat="1" applyAlignment="1" applyProtection="1">
      <alignment/>
      <protection/>
    </xf>
    <xf numFmtId="0" fontId="37" fillId="0" borderId="10" xfId="0" applyFont="1" applyFill="1" applyBorder="1" applyAlignment="1" applyProtection="1">
      <alignment horizontal="left" wrapText="1"/>
      <protection/>
    </xf>
    <xf numFmtId="0" fontId="18" fillId="0" borderId="10" xfId="0" applyFont="1" applyFill="1" applyBorder="1" applyAlignment="1" applyProtection="1">
      <alignment horizontal="right" wrapText="1"/>
      <protection/>
    </xf>
    <xf numFmtId="4" fontId="18" fillId="0" borderId="10" xfId="0" applyNumberFormat="1" applyFont="1" applyBorder="1" applyAlignment="1" applyProtection="1">
      <alignment horizontal="right" wrapText="1"/>
      <protection/>
    </xf>
    <xf numFmtId="0" fontId="18" fillId="0" borderId="10" xfId="0" applyFont="1" applyBorder="1" applyAlignment="1" applyProtection="1">
      <alignment horizontal="center" wrapText="1"/>
      <protection/>
    </xf>
    <xf numFmtId="0" fontId="35" fillId="0" borderId="11" xfId="0" applyFont="1" applyFill="1" applyBorder="1" applyAlignment="1" applyProtection="1">
      <alignment horizontal="right"/>
      <protection/>
    </xf>
    <xf numFmtId="0" fontId="0" fillId="0" borderId="11" xfId="0" applyFill="1" applyBorder="1" applyAlignment="1" applyProtection="1">
      <alignment/>
      <protection/>
    </xf>
    <xf numFmtId="0" fontId="0" fillId="0" borderId="0" xfId="0" applyFont="1" applyFill="1" applyAlignment="1" applyProtection="1">
      <alignment/>
      <protection/>
    </xf>
    <xf numFmtId="0" fontId="4" fillId="0" borderId="0" xfId="0" applyFont="1" applyFill="1" applyAlignment="1" applyProtection="1">
      <alignment/>
      <protection/>
    </xf>
    <xf numFmtId="4" fontId="4" fillId="0" borderId="0" xfId="0" applyNumberFormat="1" applyFont="1" applyFill="1" applyAlignment="1" applyProtection="1">
      <alignment/>
      <protection/>
    </xf>
    <xf numFmtId="2" fontId="0" fillId="0" borderId="0" xfId="0" applyNumberFormat="1" applyAlignment="1" applyProtection="1">
      <alignment/>
      <protection/>
    </xf>
    <xf numFmtId="2" fontId="18" fillId="0" borderId="10" xfId="0" applyNumberFormat="1" applyFont="1" applyBorder="1" applyAlignment="1" applyProtection="1">
      <alignment horizontal="right" wrapText="1"/>
      <protection/>
    </xf>
    <xf numFmtId="2" fontId="0" fillId="0" borderId="0" xfId="0" applyNumberFormat="1" applyAlignment="1" applyProtection="1">
      <alignment/>
      <protection locked="0"/>
    </xf>
    <xf numFmtId="3" fontId="0" fillId="0" borderId="0" xfId="0" applyNumberFormat="1" applyFill="1" applyAlignment="1" applyProtection="1">
      <alignment/>
      <protection/>
    </xf>
    <xf numFmtId="3" fontId="18" fillId="0" borderId="10" xfId="0" applyNumberFormat="1" applyFont="1" applyFill="1" applyBorder="1" applyAlignment="1" applyProtection="1">
      <alignment horizontal="right" wrapText="1"/>
      <protection/>
    </xf>
    <xf numFmtId="3" fontId="0" fillId="0" borderId="11" xfId="0" applyNumberFormat="1" applyBorder="1" applyAlignment="1" applyProtection="1">
      <alignment/>
      <protection/>
    </xf>
    <xf numFmtId="3" fontId="4" fillId="0" borderId="0" xfId="0" applyNumberFormat="1" applyFont="1" applyFill="1" applyAlignment="1" applyProtection="1">
      <alignment/>
      <protection/>
    </xf>
    <xf numFmtId="3" fontId="0" fillId="0" borderId="0" xfId="0" applyNumberFormat="1" applyFill="1" applyAlignment="1" applyProtection="1">
      <alignment/>
      <protection locked="0"/>
    </xf>
    <xf numFmtId="3" fontId="0" fillId="0" borderId="0" xfId="31" applyNumberFormat="1" applyAlignment="1" applyProtection="1">
      <alignment/>
      <protection/>
    </xf>
    <xf numFmtId="3" fontId="18" fillId="0" borderId="10" xfId="31" applyNumberFormat="1" applyFont="1" applyBorder="1" applyAlignment="1" applyProtection="1">
      <alignment horizontal="right" wrapText="1"/>
      <protection/>
    </xf>
    <xf numFmtId="3" fontId="0" fillId="0" borderId="11" xfId="0" applyNumberFormat="1" applyFill="1" applyBorder="1" applyAlignment="1" applyProtection="1">
      <alignment/>
      <protection/>
    </xf>
    <xf numFmtId="3" fontId="4" fillId="0" borderId="0" xfId="31" applyNumberFormat="1" applyFont="1" applyFill="1" applyAlignment="1" applyProtection="1">
      <alignment/>
      <protection/>
    </xf>
    <xf numFmtId="3" fontId="0" fillId="0" borderId="0" xfId="31" applyNumberFormat="1" applyAlignment="1" applyProtection="1">
      <alignment/>
      <protection locked="0"/>
    </xf>
    <xf numFmtId="3" fontId="0" fillId="0" borderId="0" xfId="0" applyNumberFormat="1" applyAlignment="1" applyProtection="1">
      <alignment/>
      <protection/>
    </xf>
    <xf numFmtId="3" fontId="18" fillId="0" borderId="10" xfId="0" applyNumberFormat="1" applyFont="1" applyBorder="1" applyAlignment="1" applyProtection="1">
      <alignment horizontal="right" wrapText="1"/>
      <protection/>
    </xf>
    <xf numFmtId="3" fontId="0" fillId="0" borderId="0" xfId="0" applyNumberFormat="1" applyAlignment="1" applyProtection="1">
      <alignment/>
      <protection locked="0"/>
    </xf>
    <xf numFmtId="0" fontId="0" fillId="0" borderId="10" xfId="0" applyFont="1" applyFill="1" applyBorder="1" applyAlignment="1" applyProtection="1">
      <alignment/>
      <protection/>
    </xf>
    <xf numFmtId="3" fontId="0" fillId="0" borderId="10" xfId="0" applyNumberFormat="1" applyFill="1" applyBorder="1" applyAlignment="1" applyProtection="1">
      <alignment/>
      <protection/>
    </xf>
    <xf numFmtId="3" fontId="0" fillId="0" borderId="10" xfId="31" applyNumberFormat="1" applyBorder="1" applyAlignment="1" applyProtection="1">
      <alignment/>
      <protection/>
    </xf>
    <xf numFmtId="0" fontId="0" fillId="0" borderId="10" xfId="0" applyFill="1" applyBorder="1" applyAlignment="1" applyProtection="1">
      <alignment/>
      <protection/>
    </xf>
    <xf numFmtId="3" fontId="4" fillId="0" borderId="10" xfId="0" applyNumberFormat="1" applyFont="1" applyFill="1" applyBorder="1" applyAlignment="1" applyProtection="1">
      <alignment/>
      <protection/>
    </xf>
    <xf numFmtId="4" fontId="4" fillId="0" borderId="10" xfId="0" applyNumberFormat="1" applyFont="1" applyFill="1" applyBorder="1" applyAlignment="1" applyProtection="1">
      <alignment/>
      <protection/>
    </xf>
    <xf numFmtId="2" fontId="0" fillId="0" borderId="10" xfId="0" applyNumberFormat="1" applyBorder="1" applyAlignment="1" applyProtection="1">
      <alignment/>
      <protection/>
    </xf>
    <xf numFmtId="173" fontId="10" fillId="0" borderId="0" xfId="30" applyNumberFormat="1" applyFont="1" applyBorder="1" applyAlignment="1" applyProtection="1">
      <alignment horizontal="center"/>
      <protection/>
    </xf>
    <xf numFmtId="173" fontId="18" fillId="0" borderId="0" xfId="30" applyNumberFormat="1" applyFont="1" applyAlignment="1" applyProtection="1">
      <alignment horizontal="center"/>
      <protection/>
    </xf>
    <xf numFmtId="173" fontId="18" fillId="10" borderId="0" xfId="30" applyNumberFormat="1" applyFont="1" applyFill="1" applyAlignment="1" applyProtection="1">
      <alignment horizontal="center"/>
      <protection/>
    </xf>
    <xf numFmtId="173" fontId="18" fillId="0" borderId="3" xfId="30" applyNumberFormat="1" applyFont="1" applyBorder="1" applyAlignment="1" applyProtection="1">
      <alignment horizontal="center"/>
      <protection/>
    </xf>
    <xf numFmtId="4" fontId="10" fillId="0" borderId="3" xfId="30" applyNumberFormat="1" applyFont="1" applyBorder="1" applyProtection="1">
      <alignment/>
      <protection/>
    </xf>
    <xf numFmtId="4" fontId="18" fillId="0" borderId="3" xfId="30" applyNumberFormat="1" applyFont="1" applyBorder="1" applyProtection="1">
      <alignment/>
      <protection/>
    </xf>
    <xf numFmtId="4" fontId="18" fillId="10" borderId="3" xfId="30" applyNumberFormat="1" applyFont="1" applyFill="1" applyBorder="1" applyProtection="1">
      <alignment/>
      <protection/>
    </xf>
    <xf numFmtId="0" fontId="1" fillId="9" borderId="3" xfId="0" applyFont="1" applyFill="1" applyBorder="1" applyAlignment="1" applyProtection="1">
      <alignment horizontal="left" indent="1"/>
      <protection hidden="1" locked="0"/>
    </xf>
    <xf numFmtId="0" fontId="4" fillId="8" borderId="0" xfId="0" applyFont="1" applyFill="1" applyBorder="1" applyAlignment="1" applyProtection="1">
      <alignment horizontal="center"/>
      <protection hidden="1"/>
    </xf>
    <xf numFmtId="0" fontId="4" fillId="8" borderId="0" xfId="0" applyFont="1" applyFill="1" applyBorder="1" applyAlignment="1" applyProtection="1">
      <alignment/>
      <protection hidden="1"/>
    </xf>
    <xf numFmtId="0" fontId="0" fillId="8" borderId="0" xfId="0" applyFill="1" applyAlignment="1">
      <alignment/>
    </xf>
    <xf numFmtId="0" fontId="4" fillId="8" borderId="0" xfId="0" applyFont="1" applyFill="1" applyBorder="1" applyAlignment="1" applyProtection="1">
      <alignment horizontal="right"/>
      <protection hidden="1"/>
    </xf>
    <xf numFmtId="0" fontId="4" fillId="8" borderId="0" xfId="0" applyNumberFormat="1" applyFont="1" applyFill="1" applyBorder="1" applyAlignment="1" applyProtection="1">
      <alignment/>
      <protection hidden="1"/>
    </xf>
    <xf numFmtId="0" fontId="4" fillId="8" borderId="0" xfId="0" applyFont="1" applyFill="1" applyBorder="1" applyAlignment="1" applyProtection="1">
      <alignment/>
      <protection hidden="1"/>
    </xf>
    <xf numFmtId="0" fontId="4" fillId="8" borderId="0" xfId="0" applyFont="1" applyFill="1" applyBorder="1" applyAlignment="1" applyProtection="1">
      <alignment horizontal="right"/>
      <protection hidden="1"/>
    </xf>
    <xf numFmtId="0" fontId="5" fillId="7" borderId="0" xfId="0" applyFont="1" applyFill="1" applyBorder="1" applyAlignment="1" applyProtection="1">
      <alignment horizontal="right"/>
      <protection hidden="1"/>
    </xf>
    <xf numFmtId="0" fontId="7" fillId="7" borderId="0" xfId="0" applyFont="1" applyFill="1" applyAlignment="1" applyProtection="1">
      <alignment horizontal="right"/>
      <protection hidden="1"/>
    </xf>
    <xf numFmtId="3" fontId="0" fillId="0" borderId="0" xfId="0" applyNumberFormat="1" applyAlignment="1">
      <alignment/>
    </xf>
    <xf numFmtId="4" fontId="0" fillId="0" borderId="0" xfId="0" applyNumberFormat="1" applyAlignment="1">
      <alignment/>
    </xf>
    <xf numFmtId="173" fontId="18" fillId="0" borderId="11" xfId="18" applyNumberFormat="1" applyFont="1" applyBorder="1" applyAlignment="1" applyProtection="1">
      <alignment/>
      <protection/>
    </xf>
    <xf numFmtId="0" fontId="0" fillId="0" borderId="0" xfId="0" applyFont="1" applyAlignment="1" applyProtection="1">
      <alignment horizontal="center"/>
      <protection/>
    </xf>
    <xf numFmtId="0" fontId="0" fillId="0" borderId="11" xfId="0" applyFont="1" applyBorder="1" applyAlignment="1" applyProtection="1">
      <alignment horizontal="center"/>
      <protection/>
    </xf>
    <xf numFmtId="0" fontId="0" fillId="0" borderId="0" xfId="0" applyFont="1" applyFill="1" applyAlignment="1" applyProtection="1">
      <alignment horizontal="center"/>
      <protection/>
    </xf>
    <xf numFmtId="0" fontId="1" fillId="2" borderId="0" xfId="0" applyFont="1" applyFill="1" applyBorder="1" applyAlignment="1" applyProtection="1">
      <alignment horizontal="center"/>
      <protection hidden="1" locked="0"/>
    </xf>
    <xf numFmtId="0" fontId="1" fillId="5" borderId="0" xfId="0" applyFont="1" applyFill="1" applyBorder="1" applyAlignment="1" applyProtection="1">
      <alignment horizontal="center"/>
      <protection hidden="1" locked="0"/>
    </xf>
    <xf numFmtId="0" fontId="4" fillId="8" borderId="0" xfId="0" applyFont="1" applyFill="1" applyBorder="1" applyAlignment="1" applyProtection="1">
      <alignment horizontal="center"/>
      <protection hidden="1"/>
    </xf>
    <xf numFmtId="0" fontId="0" fillId="0" borderId="10" xfId="0" applyFont="1" applyBorder="1" applyAlignment="1" applyProtection="1">
      <alignment horizontal="center"/>
      <protection/>
    </xf>
    <xf numFmtId="3" fontId="5" fillId="7" borderId="0" xfId="0" applyNumberFormat="1" applyFont="1" applyFill="1" applyBorder="1" applyAlignment="1" applyProtection="1">
      <alignment horizontal="center"/>
      <protection hidden="1"/>
    </xf>
    <xf numFmtId="3" fontId="5" fillId="3" borderId="0" xfId="0" applyNumberFormat="1" applyFont="1" applyFill="1" applyBorder="1" applyAlignment="1" applyProtection="1">
      <alignment horizontal="center"/>
      <protection hidden="1"/>
    </xf>
    <xf numFmtId="3" fontId="7" fillId="7" borderId="0" xfId="0" applyNumberFormat="1" applyFont="1" applyFill="1" applyBorder="1" applyAlignment="1" applyProtection="1">
      <alignment horizontal="center"/>
      <protection hidden="1"/>
    </xf>
    <xf numFmtId="3" fontId="7" fillId="3" borderId="0" xfId="0" applyNumberFormat="1" applyFont="1" applyFill="1" applyBorder="1" applyAlignment="1" applyProtection="1">
      <alignment horizontal="center"/>
      <protection hidden="1"/>
    </xf>
    <xf numFmtId="3" fontId="1" fillId="5" borderId="0" xfId="0" applyNumberFormat="1" applyFont="1" applyFill="1" applyAlignment="1" applyProtection="1">
      <alignment/>
      <protection locked="0"/>
    </xf>
    <xf numFmtId="3" fontId="1" fillId="2" borderId="0" xfId="0" applyNumberFormat="1" applyFont="1" applyFill="1" applyAlignment="1" applyProtection="1">
      <alignment/>
      <protection hidden="1" locked="0"/>
    </xf>
    <xf numFmtId="3" fontId="1" fillId="2" borderId="0" xfId="0" applyNumberFormat="1" applyFont="1" applyFill="1" applyAlignment="1" applyProtection="1">
      <alignment/>
      <protection locked="0"/>
    </xf>
    <xf numFmtId="3" fontId="4" fillId="8" borderId="0" xfId="0" applyNumberFormat="1" applyFont="1" applyFill="1" applyBorder="1" applyAlignment="1" applyProtection="1">
      <alignment/>
      <protection hidden="1"/>
    </xf>
    <xf numFmtId="176" fontId="5" fillId="3" borderId="0" xfId="0" applyNumberFormat="1" applyFont="1" applyFill="1" applyBorder="1" applyAlignment="1" applyProtection="1">
      <alignment horizontal="center"/>
      <protection hidden="1"/>
    </xf>
    <xf numFmtId="176" fontId="5" fillId="7" borderId="0" xfId="0" applyNumberFormat="1" applyFont="1" applyFill="1" applyBorder="1" applyAlignment="1" applyProtection="1">
      <alignment horizontal="center"/>
      <protection hidden="1"/>
    </xf>
    <xf numFmtId="176" fontId="1" fillId="5" borderId="0" xfId="0" applyNumberFormat="1" applyFont="1" applyFill="1" applyAlignment="1" applyProtection="1">
      <alignment/>
      <protection locked="0"/>
    </xf>
    <xf numFmtId="176" fontId="4" fillId="8" borderId="0" xfId="0" applyNumberFormat="1" applyFont="1" applyFill="1" applyBorder="1" applyAlignment="1" applyProtection="1">
      <alignment/>
      <protection hidden="1"/>
    </xf>
    <xf numFmtId="3" fontId="1" fillId="5" borderId="0" xfId="0" applyNumberFormat="1" applyFont="1" applyFill="1" applyAlignment="1" applyProtection="1">
      <alignment/>
      <protection hidden="1" locked="0"/>
    </xf>
    <xf numFmtId="3" fontId="5" fillId="7" borderId="0" xfId="0" applyNumberFormat="1" applyFont="1" applyFill="1" applyBorder="1" applyAlignment="1" applyProtection="1">
      <alignment horizontal="right"/>
      <protection hidden="1"/>
    </xf>
    <xf numFmtId="3" fontId="5" fillId="3" borderId="0" xfId="0" applyNumberFormat="1" applyFont="1" applyFill="1" applyBorder="1" applyAlignment="1" applyProtection="1">
      <alignment horizontal="right"/>
      <protection hidden="1"/>
    </xf>
    <xf numFmtId="3" fontId="7" fillId="7" borderId="0" xfId="0" applyNumberFormat="1" applyFont="1" applyFill="1" applyAlignment="1" applyProtection="1">
      <alignment horizontal="right"/>
      <protection hidden="1"/>
    </xf>
    <xf numFmtId="3" fontId="7" fillId="3" borderId="0" xfId="0" applyNumberFormat="1" applyFont="1" applyFill="1" applyAlignment="1" applyProtection="1">
      <alignment horizontal="right"/>
      <protection hidden="1"/>
    </xf>
    <xf numFmtId="3" fontId="1" fillId="5" borderId="0" xfId="0" applyNumberFormat="1" applyFont="1" applyFill="1" applyAlignment="1" applyProtection="1">
      <alignment horizontal="right"/>
      <protection locked="0"/>
    </xf>
    <xf numFmtId="3" fontId="1" fillId="2" borderId="0" xfId="0" applyNumberFormat="1" applyFont="1" applyFill="1" applyAlignment="1" applyProtection="1">
      <alignment horizontal="right"/>
      <protection locked="0"/>
    </xf>
    <xf numFmtId="3" fontId="1" fillId="2" borderId="0" xfId="0" applyNumberFormat="1" applyFont="1" applyFill="1" applyAlignment="1" applyProtection="1">
      <alignment horizontal="right"/>
      <protection hidden="1" locked="0"/>
    </xf>
    <xf numFmtId="3" fontId="4" fillId="8" borderId="0" xfId="0" applyNumberFormat="1" applyFont="1" applyFill="1" applyBorder="1" applyAlignment="1" applyProtection="1">
      <alignment/>
      <protection hidden="1"/>
    </xf>
    <xf numFmtId="4" fontId="0" fillId="6" borderId="12" xfId="0" applyNumberFormat="1" applyFont="1" applyFill="1" applyBorder="1" applyAlignment="1" applyProtection="1">
      <alignment/>
      <protection hidden="1"/>
    </xf>
    <xf numFmtId="4" fontId="0" fillId="6" borderId="13" xfId="0" applyNumberFormat="1" applyFont="1" applyFill="1" applyBorder="1" applyAlignment="1" applyProtection="1">
      <alignment/>
      <protection hidden="1"/>
    </xf>
    <xf numFmtId="4" fontId="0" fillId="11" borderId="14" xfId="0" applyNumberFormat="1" applyFont="1" applyFill="1" applyBorder="1" applyAlignment="1" applyProtection="1">
      <alignment/>
      <protection hidden="1"/>
    </xf>
    <xf numFmtId="4" fontId="0" fillId="11" borderId="15" xfId="0" applyNumberFormat="1" applyFont="1" applyFill="1" applyBorder="1" applyAlignment="1" applyProtection="1">
      <alignment/>
      <protection hidden="1"/>
    </xf>
    <xf numFmtId="4" fontId="12" fillId="3" borderId="0" xfId="0" applyNumberFormat="1" applyFont="1" applyFill="1" applyAlignment="1" applyProtection="1">
      <alignment/>
      <protection hidden="1"/>
    </xf>
    <xf numFmtId="4" fontId="12" fillId="3" borderId="16" xfId="0" applyNumberFormat="1" applyFont="1" applyFill="1" applyBorder="1" applyAlignment="1" applyProtection="1">
      <alignment/>
      <protection hidden="1"/>
    </xf>
    <xf numFmtId="4" fontId="12" fillId="3" borderId="3" xfId="0" applyNumberFormat="1" applyFont="1" applyFill="1" applyBorder="1" applyAlignment="1" applyProtection="1">
      <alignment/>
      <protection hidden="1"/>
    </xf>
    <xf numFmtId="4" fontId="5" fillId="3" borderId="17" xfId="0" applyNumberFormat="1" applyFont="1" applyFill="1" applyBorder="1" applyAlignment="1" applyProtection="1">
      <alignment/>
      <protection hidden="1"/>
    </xf>
    <xf numFmtId="4" fontId="0" fillId="2" borderId="0" xfId="0" applyNumberFormat="1" applyFill="1" applyAlignment="1" applyProtection="1">
      <alignment/>
      <protection hidden="1"/>
    </xf>
    <xf numFmtId="4" fontId="0" fillId="2" borderId="16" xfId="0" applyNumberFormat="1" applyFill="1" applyBorder="1" applyAlignment="1" applyProtection="1">
      <alignment/>
      <protection hidden="1"/>
    </xf>
    <xf numFmtId="4" fontId="0" fillId="2" borderId="3" xfId="0" applyNumberFormat="1" applyFill="1" applyBorder="1" applyAlignment="1" applyProtection="1">
      <alignment horizontal="right"/>
      <protection hidden="1"/>
    </xf>
    <xf numFmtId="4" fontId="1" fillId="2" borderId="17" xfId="0" applyNumberFormat="1" applyFont="1" applyFill="1" applyBorder="1" applyAlignment="1" applyProtection="1">
      <alignment/>
      <protection hidden="1"/>
    </xf>
    <xf numFmtId="4" fontId="5" fillId="3" borderId="3" xfId="0" applyNumberFormat="1" applyFont="1" applyFill="1" applyBorder="1" applyAlignment="1" applyProtection="1">
      <alignment horizontal="right"/>
      <protection hidden="1"/>
    </xf>
    <xf numFmtId="4" fontId="5" fillId="3" borderId="17" xfId="0" applyNumberFormat="1" applyFont="1" applyFill="1" applyBorder="1" applyAlignment="1" applyProtection="1">
      <alignment horizontal="right"/>
      <protection hidden="1"/>
    </xf>
    <xf numFmtId="4" fontId="1" fillId="2" borderId="0" xfId="0" applyNumberFormat="1" applyFont="1" applyFill="1" applyBorder="1" applyAlignment="1" applyProtection="1">
      <alignment horizontal="right"/>
      <protection hidden="1" locked="0"/>
    </xf>
    <xf numFmtId="4" fontId="10" fillId="11" borderId="18" xfId="0" applyNumberFormat="1" applyFont="1" applyFill="1" applyBorder="1" applyAlignment="1" applyProtection="1">
      <alignment horizontal="right"/>
      <protection hidden="1"/>
    </xf>
    <xf numFmtId="4" fontId="10" fillId="11" borderId="19" xfId="0" applyNumberFormat="1" applyFont="1" applyFill="1" applyBorder="1" applyAlignment="1" applyProtection="1">
      <alignment horizontal="right"/>
      <protection hidden="1"/>
    </xf>
    <xf numFmtId="4" fontId="1" fillId="2" borderId="3" xfId="0" applyNumberFormat="1" applyFont="1" applyFill="1" applyBorder="1" applyAlignment="1" applyProtection="1">
      <alignment horizontal="right"/>
      <protection hidden="1" locked="0"/>
    </xf>
    <xf numFmtId="4" fontId="10" fillId="11" borderId="20" xfId="0" applyNumberFormat="1" applyFont="1" applyFill="1" applyBorder="1" applyAlignment="1" applyProtection="1">
      <alignment horizontal="right"/>
      <protection hidden="1"/>
    </xf>
    <xf numFmtId="4" fontId="18" fillId="4" borderId="21" xfId="0" applyNumberFormat="1" applyFont="1" applyFill="1" applyBorder="1" applyAlignment="1" applyProtection="1">
      <alignment/>
      <protection hidden="1"/>
    </xf>
    <xf numFmtId="4" fontId="0" fillId="2" borderId="3" xfId="0" applyNumberFormat="1" applyFill="1" applyBorder="1" applyAlignment="1" applyProtection="1">
      <alignment/>
      <protection hidden="1"/>
    </xf>
    <xf numFmtId="4" fontId="0" fillId="2" borderId="17" xfId="0" applyNumberFormat="1" applyFill="1" applyBorder="1" applyAlignment="1" applyProtection="1">
      <alignment/>
      <protection hidden="1"/>
    </xf>
    <xf numFmtId="4" fontId="6" fillId="3" borderId="0" xfId="0" applyNumberFormat="1" applyFont="1" applyFill="1" applyAlignment="1" applyProtection="1">
      <alignment horizontal="right"/>
      <protection hidden="1"/>
    </xf>
    <xf numFmtId="4" fontId="5" fillId="3" borderId="16" xfId="0" applyNumberFormat="1" applyFont="1" applyFill="1" applyBorder="1" applyAlignment="1" applyProtection="1">
      <alignment horizontal="right"/>
      <protection hidden="1"/>
    </xf>
    <xf numFmtId="4" fontId="7" fillId="3" borderId="0" xfId="0" applyNumberFormat="1" applyFont="1" applyFill="1" applyAlignment="1" applyProtection="1">
      <alignment horizontal="right"/>
      <protection hidden="1"/>
    </xf>
    <xf numFmtId="4" fontId="7" fillId="3" borderId="16" xfId="0" applyNumberFormat="1" applyFont="1" applyFill="1" applyBorder="1" applyAlignment="1" applyProtection="1">
      <alignment horizontal="right"/>
      <protection hidden="1"/>
    </xf>
    <xf numFmtId="4" fontId="1" fillId="6" borderId="6" xfId="0" applyNumberFormat="1" applyFont="1" applyFill="1" applyBorder="1" applyAlignment="1" applyProtection="1">
      <alignment horizontal="right"/>
      <protection hidden="1"/>
    </xf>
    <xf numFmtId="4" fontId="1" fillId="6" borderId="17" xfId="0" applyNumberFormat="1" applyFont="1" applyFill="1" applyBorder="1" applyAlignment="1" applyProtection="1">
      <alignment horizontal="right"/>
      <protection hidden="1"/>
    </xf>
    <xf numFmtId="4" fontId="10" fillId="11" borderId="16" xfId="0" applyNumberFormat="1" applyFont="1" applyFill="1" applyBorder="1" applyAlignment="1" applyProtection="1">
      <alignment horizontal="right"/>
      <protection hidden="1"/>
    </xf>
    <xf numFmtId="4" fontId="10" fillId="11" borderId="2" xfId="0" applyNumberFormat="1" applyFont="1" applyFill="1" applyBorder="1" applyAlignment="1" applyProtection="1">
      <alignment horizontal="right"/>
      <protection hidden="1"/>
    </xf>
    <xf numFmtId="4" fontId="10" fillId="11" borderId="8" xfId="0" applyNumberFormat="1" applyFont="1" applyFill="1" applyBorder="1" applyAlignment="1" applyProtection="1">
      <alignment horizontal="right"/>
      <protection hidden="1"/>
    </xf>
    <xf numFmtId="4" fontId="10" fillId="11" borderId="17" xfId="0" applyNumberFormat="1" applyFont="1" applyFill="1" applyBorder="1" applyAlignment="1" applyProtection="1">
      <alignment horizontal="right"/>
      <protection hidden="1"/>
    </xf>
    <xf numFmtId="4" fontId="18" fillId="6" borderId="4" xfId="0" applyNumberFormat="1" applyFont="1" applyFill="1" applyBorder="1" applyAlignment="1" applyProtection="1">
      <alignment horizontal="right"/>
      <protection hidden="1"/>
    </xf>
    <xf numFmtId="4" fontId="18" fillId="6" borderId="21" xfId="0" applyNumberFormat="1" applyFont="1" applyFill="1" applyBorder="1" applyAlignment="1" applyProtection="1">
      <alignment horizontal="right"/>
      <protection hidden="1"/>
    </xf>
    <xf numFmtId="4" fontId="0" fillId="6" borderId="6" xfId="0" applyNumberFormat="1" applyFont="1" applyFill="1" applyBorder="1" applyAlignment="1" applyProtection="1">
      <alignment/>
      <protection hidden="1"/>
    </xf>
    <xf numFmtId="4" fontId="0" fillId="6" borderId="21" xfId="0" applyNumberFormat="1" applyFont="1" applyFill="1" applyBorder="1" applyAlignment="1" applyProtection="1">
      <alignment/>
      <protection hidden="1"/>
    </xf>
    <xf numFmtId="4" fontId="10" fillId="11" borderId="22" xfId="0" applyNumberFormat="1" applyFont="1" applyFill="1" applyBorder="1" applyAlignment="1" applyProtection="1">
      <alignment/>
      <protection hidden="1"/>
    </xf>
    <xf numFmtId="4" fontId="10" fillId="11" borderId="23" xfId="0" applyNumberFormat="1" applyFont="1" applyFill="1" applyBorder="1" applyAlignment="1" applyProtection="1">
      <alignment/>
      <protection hidden="1"/>
    </xf>
    <xf numFmtId="4" fontId="10" fillId="11" borderId="2" xfId="0" applyNumberFormat="1" applyFont="1" applyFill="1" applyBorder="1" applyAlignment="1" applyProtection="1">
      <alignment/>
      <protection hidden="1"/>
    </xf>
    <xf numFmtId="4" fontId="10" fillId="11" borderId="16" xfId="0" applyNumberFormat="1" applyFont="1" applyFill="1" applyBorder="1" applyAlignment="1" applyProtection="1">
      <alignment/>
      <protection hidden="1"/>
    </xf>
    <xf numFmtId="4" fontId="10" fillId="11" borderId="8" xfId="0" applyNumberFormat="1" applyFont="1" applyFill="1" applyBorder="1" applyAlignment="1" applyProtection="1">
      <alignment/>
      <protection hidden="1"/>
    </xf>
    <xf numFmtId="4" fontId="10" fillId="11" borderId="17" xfId="0" applyNumberFormat="1" applyFont="1" applyFill="1" applyBorder="1" applyAlignment="1" applyProtection="1">
      <alignment/>
      <protection hidden="1"/>
    </xf>
    <xf numFmtId="4" fontId="0" fillId="6" borderId="4" xfId="0" applyNumberFormat="1" applyFont="1" applyFill="1" applyBorder="1" applyAlignment="1" applyProtection="1">
      <alignment/>
      <protection hidden="1"/>
    </xf>
    <xf numFmtId="4" fontId="18" fillId="6" borderId="21" xfId="0" applyNumberFormat="1" applyFont="1" applyFill="1" applyBorder="1" applyAlignment="1" applyProtection="1">
      <alignment/>
      <protection hidden="1"/>
    </xf>
    <xf numFmtId="4" fontId="0" fillId="6" borderId="17" xfId="0" applyNumberFormat="1" applyFont="1" applyFill="1" applyBorder="1" applyAlignment="1" applyProtection="1">
      <alignment/>
      <protection hidden="1"/>
    </xf>
    <xf numFmtId="4" fontId="1" fillId="6" borderId="4" xfId="0" applyNumberFormat="1" applyFont="1" applyFill="1" applyBorder="1" applyAlignment="1" applyProtection="1">
      <alignment horizontal="right"/>
      <protection hidden="1"/>
    </xf>
    <xf numFmtId="4" fontId="4" fillId="4" borderId="3" xfId="0" applyNumberFormat="1" applyFont="1" applyFill="1" applyBorder="1" applyAlignment="1" applyProtection="1">
      <alignment/>
      <protection hidden="1"/>
    </xf>
    <xf numFmtId="4" fontId="10" fillId="4" borderId="17" xfId="0" applyNumberFormat="1" applyFont="1" applyFill="1" applyBorder="1" applyAlignment="1" applyProtection="1">
      <alignment/>
      <protection hidden="1"/>
    </xf>
    <xf numFmtId="4" fontId="2" fillId="2" borderId="0" xfId="0" applyNumberFormat="1" applyFont="1" applyFill="1" applyAlignment="1" applyProtection="1">
      <alignment/>
      <protection hidden="1"/>
    </xf>
    <xf numFmtId="4" fontId="10" fillId="2" borderId="16" xfId="0" applyNumberFormat="1" applyFont="1" applyFill="1" applyBorder="1" applyAlignment="1" applyProtection="1">
      <alignment/>
      <protection hidden="1"/>
    </xf>
    <xf numFmtId="4" fontId="4" fillId="2" borderId="16" xfId="0" applyNumberFormat="1" applyFont="1" applyFill="1" applyBorder="1" applyAlignment="1" applyProtection="1">
      <alignment/>
      <protection hidden="1"/>
    </xf>
    <xf numFmtId="4" fontId="1" fillId="2" borderId="0" xfId="0" applyNumberFormat="1" applyFont="1" applyFill="1" applyAlignment="1" applyProtection="1">
      <alignment/>
      <protection hidden="1"/>
    </xf>
    <xf numFmtId="4" fontId="5" fillId="3" borderId="3" xfId="0" applyNumberFormat="1" applyFont="1" applyFill="1" applyBorder="1" applyAlignment="1" applyProtection="1">
      <alignment/>
      <protection hidden="1"/>
    </xf>
    <xf numFmtId="4" fontId="0" fillId="6" borderId="3" xfId="0" applyNumberFormat="1" applyFont="1" applyFill="1" applyBorder="1" applyAlignment="1" applyProtection="1">
      <alignment/>
      <protection hidden="1"/>
    </xf>
    <xf numFmtId="4" fontId="1" fillId="2" borderId="23" xfId="0" applyNumberFormat="1" applyFont="1" applyFill="1" applyBorder="1" applyAlignment="1" applyProtection="1">
      <alignment/>
      <protection hidden="1" locked="0"/>
    </xf>
    <xf numFmtId="4" fontId="18" fillId="6" borderId="7" xfId="0" applyNumberFormat="1" applyFont="1" applyFill="1" applyBorder="1" applyAlignment="1" applyProtection="1">
      <alignment/>
      <protection hidden="1"/>
    </xf>
    <xf numFmtId="4" fontId="10" fillId="11" borderId="18" xfId="0" applyNumberFormat="1" applyFont="1" applyFill="1" applyBorder="1" applyAlignment="1" applyProtection="1">
      <alignment/>
      <protection hidden="1"/>
    </xf>
    <xf numFmtId="4" fontId="1" fillId="4" borderId="3" xfId="0" applyNumberFormat="1" applyFont="1" applyFill="1" applyBorder="1" applyAlignment="1" applyProtection="1">
      <alignment/>
      <protection hidden="1"/>
    </xf>
    <xf numFmtId="4" fontId="18" fillId="4" borderId="20" xfId="0" applyNumberFormat="1" applyFont="1" applyFill="1" applyBorder="1" applyAlignment="1" applyProtection="1">
      <alignment/>
      <protection hidden="1"/>
    </xf>
    <xf numFmtId="4" fontId="0" fillId="6" borderId="6" xfId="0" applyNumberFormat="1" applyFill="1" applyBorder="1" applyAlignment="1" applyProtection="1">
      <alignment/>
      <protection hidden="1"/>
    </xf>
    <xf numFmtId="4" fontId="0" fillId="6" borderId="21" xfId="0" applyNumberFormat="1" applyFill="1" applyBorder="1" applyAlignment="1" applyProtection="1">
      <alignment/>
      <protection hidden="1"/>
    </xf>
    <xf numFmtId="4" fontId="0" fillId="0" borderId="0" xfId="0" applyNumberFormat="1" applyFill="1" applyAlignment="1" applyProtection="1">
      <alignment/>
      <protection hidden="1"/>
    </xf>
    <xf numFmtId="4" fontId="4" fillId="0" borderId="0" xfId="0" applyNumberFormat="1" applyFont="1" applyFill="1" applyAlignment="1" applyProtection="1">
      <alignment/>
      <protection hidden="1"/>
    </xf>
    <xf numFmtId="4" fontId="2" fillId="0" borderId="0" xfId="0" applyNumberFormat="1" applyFont="1" applyFill="1" applyAlignment="1" applyProtection="1">
      <alignment/>
      <protection hidden="1"/>
    </xf>
    <xf numFmtId="4" fontId="12" fillId="3" borderId="0" xfId="0" applyNumberFormat="1" applyFont="1" applyFill="1" applyAlignment="1" applyProtection="1">
      <alignment/>
      <protection locked="0"/>
    </xf>
    <xf numFmtId="4" fontId="13" fillId="3" borderId="0" xfId="0" applyNumberFormat="1" applyFont="1" applyFill="1" applyAlignment="1" applyProtection="1">
      <alignment/>
      <protection locked="0"/>
    </xf>
    <xf numFmtId="4" fontId="12" fillId="3" borderId="3" xfId="0" applyNumberFormat="1" applyFont="1" applyFill="1" applyBorder="1" applyAlignment="1" applyProtection="1">
      <alignment/>
      <protection locked="0"/>
    </xf>
    <xf numFmtId="4" fontId="0" fillId="2" borderId="3" xfId="0" applyNumberFormat="1" applyFont="1" applyFill="1" applyBorder="1" applyAlignment="1" applyProtection="1">
      <alignment/>
      <protection hidden="1"/>
    </xf>
    <xf numFmtId="4" fontId="3" fillId="3" borderId="3" xfId="0" applyNumberFormat="1" applyFont="1" applyFill="1" applyBorder="1" applyAlignment="1" applyProtection="1">
      <alignment/>
      <protection hidden="1"/>
    </xf>
    <xf numFmtId="4" fontId="5" fillId="3" borderId="3" xfId="0" applyNumberFormat="1" applyFont="1" applyFill="1" applyBorder="1" applyAlignment="1" applyProtection="1">
      <alignment horizontal="center" wrapText="1"/>
      <protection hidden="1"/>
    </xf>
    <xf numFmtId="4" fontId="5" fillId="3" borderId="3" xfId="0" applyNumberFormat="1" applyFont="1" applyFill="1" applyBorder="1" applyAlignment="1" applyProtection="1">
      <alignment horizontal="right" wrapText="1"/>
      <protection hidden="1"/>
    </xf>
    <xf numFmtId="4" fontId="3" fillId="9" borderId="0" xfId="0" applyNumberFormat="1" applyFont="1" applyFill="1" applyBorder="1" applyAlignment="1" applyProtection="1">
      <alignment/>
      <protection hidden="1"/>
    </xf>
    <xf numFmtId="4" fontId="1" fillId="2" borderId="0" xfId="0" applyNumberFormat="1" applyFont="1" applyFill="1" applyBorder="1" applyAlignment="1" applyProtection="1">
      <alignment horizontal="center" wrapText="1"/>
      <protection hidden="1" locked="0"/>
    </xf>
    <xf numFmtId="4" fontId="1" fillId="2" borderId="0" xfId="0" applyNumberFormat="1" applyFont="1" applyFill="1" applyBorder="1" applyAlignment="1" applyProtection="1">
      <alignment horizontal="right" wrapText="1"/>
      <protection hidden="1" locked="0"/>
    </xf>
    <xf numFmtId="4" fontId="3" fillId="9" borderId="3" xfId="0" applyNumberFormat="1" applyFont="1" applyFill="1" applyBorder="1" applyAlignment="1" applyProtection="1">
      <alignment/>
      <protection hidden="1"/>
    </xf>
    <xf numFmtId="4" fontId="1" fillId="2" borderId="3" xfId="0" applyNumberFormat="1" applyFont="1" applyFill="1" applyBorder="1" applyAlignment="1" applyProtection="1">
      <alignment horizontal="center" wrapText="1"/>
      <protection hidden="1" locked="0"/>
    </xf>
    <xf numFmtId="4" fontId="1" fillId="2" borderId="3" xfId="0" applyNumberFormat="1" applyFont="1" applyFill="1" applyBorder="1" applyAlignment="1" applyProtection="1">
      <alignment horizontal="right" wrapText="1"/>
      <protection hidden="1" locked="0"/>
    </xf>
    <xf numFmtId="4" fontId="0" fillId="4" borderId="6" xfId="0" applyNumberFormat="1" applyFill="1" applyBorder="1" applyAlignment="1" applyProtection="1">
      <alignment/>
      <protection hidden="1"/>
    </xf>
    <xf numFmtId="4" fontId="18" fillId="4" borderId="6" xfId="0" applyNumberFormat="1" applyFont="1" applyFill="1" applyBorder="1" applyAlignment="1" applyProtection="1">
      <alignment horizontal="center"/>
      <protection hidden="1"/>
    </xf>
    <xf numFmtId="4" fontId="18" fillId="4" borderId="6" xfId="0" applyNumberFormat="1" applyFont="1" applyFill="1" applyBorder="1" applyAlignment="1" applyProtection="1">
      <alignment horizontal="right"/>
      <protection hidden="1"/>
    </xf>
    <xf numFmtId="4" fontId="0" fillId="4" borderId="6" xfId="0" applyNumberFormat="1" applyFill="1" applyBorder="1" applyAlignment="1" applyProtection="1">
      <alignment horizontal="right"/>
      <protection hidden="1"/>
    </xf>
    <xf numFmtId="4" fontId="11" fillId="3" borderId="0" xfId="0" applyNumberFormat="1" applyFont="1" applyFill="1" applyAlignment="1" applyProtection="1">
      <alignment horizontal="right"/>
      <protection hidden="1"/>
    </xf>
    <xf numFmtId="4" fontId="1" fillId="6" borderId="3" xfId="0" applyNumberFormat="1" applyFont="1" applyFill="1" applyBorder="1" applyAlignment="1" applyProtection="1">
      <alignment horizontal="right"/>
      <protection hidden="1"/>
    </xf>
    <xf numFmtId="4" fontId="1" fillId="5" borderId="0" xfId="0" applyNumberFormat="1" applyFont="1" applyFill="1" applyBorder="1" applyAlignment="1" applyProtection="1">
      <alignment horizontal="right"/>
      <protection hidden="1"/>
    </xf>
    <xf numFmtId="4" fontId="1" fillId="2" borderId="0" xfId="0" applyNumberFormat="1" applyFont="1" applyFill="1" applyBorder="1" applyAlignment="1" applyProtection="1">
      <alignment horizontal="right"/>
      <protection hidden="1"/>
    </xf>
    <xf numFmtId="4" fontId="1" fillId="2" borderId="16" xfId="0" applyNumberFormat="1" applyFont="1" applyFill="1" applyBorder="1" applyAlignment="1" applyProtection="1">
      <alignment horizontal="right"/>
      <protection hidden="1"/>
    </xf>
    <xf numFmtId="4" fontId="1" fillId="2" borderId="16" xfId="0" applyNumberFormat="1" applyFont="1" applyFill="1" applyBorder="1" applyAlignment="1" applyProtection="1">
      <alignment horizontal="right"/>
      <protection hidden="1" locked="0"/>
    </xf>
    <xf numFmtId="4" fontId="18" fillId="6" borderId="6" xfId="0" applyNumberFormat="1" applyFont="1" applyFill="1" applyBorder="1" applyAlignment="1" applyProtection="1">
      <alignment horizontal="right"/>
      <protection hidden="1"/>
    </xf>
    <xf numFmtId="4" fontId="1" fillId="2" borderId="3" xfId="0" applyNumberFormat="1" applyFont="1" applyFill="1" applyBorder="1" applyAlignment="1" applyProtection="1">
      <alignment horizontal="right"/>
      <protection hidden="1"/>
    </xf>
    <xf numFmtId="4" fontId="1" fillId="2" borderId="17" xfId="0" applyNumberFormat="1" applyFont="1" applyFill="1" applyBorder="1" applyAlignment="1" applyProtection="1">
      <alignment horizontal="right"/>
      <protection hidden="1"/>
    </xf>
    <xf numFmtId="4" fontId="0" fillId="5" borderId="9" xfId="0" applyNumberFormat="1" applyFont="1" applyFill="1" applyBorder="1" applyAlignment="1" applyProtection="1">
      <alignment/>
      <protection hidden="1"/>
    </xf>
    <xf numFmtId="4" fontId="1" fillId="5" borderId="9" xfId="0" applyNumberFormat="1" applyFont="1" applyFill="1" applyBorder="1" applyAlignment="1" applyProtection="1">
      <alignment/>
      <protection hidden="1"/>
    </xf>
    <xf numFmtId="4" fontId="1" fillId="2" borderId="9" xfId="0" applyNumberFormat="1" applyFont="1" applyFill="1" applyBorder="1" applyAlignment="1" applyProtection="1">
      <alignment/>
      <protection hidden="1" locked="0"/>
    </xf>
    <xf numFmtId="4" fontId="1" fillId="2" borderId="0" xfId="0" applyNumberFormat="1" applyFont="1" applyFill="1" applyBorder="1" applyAlignment="1" applyProtection="1">
      <alignment/>
      <protection hidden="1" locked="0"/>
    </xf>
    <xf numFmtId="4" fontId="1" fillId="2" borderId="0" xfId="0" applyNumberFormat="1" applyFont="1" applyFill="1" applyBorder="1" applyAlignment="1" applyProtection="1">
      <alignment/>
      <protection hidden="1"/>
    </xf>
    <xf numFmtId="4" fontId="1" fillId="2" borderId="16" xfId="0" applyNumberFormat="1" applyFont="1" applyFill="1" applyBorder="1" applyAlignment="1" applyProtection="1">
      <alignment/>
      <protection hidden="1"/>
    </xf>
    <xf numFmtId="4" fontId="1" fillId="2" borderId="3" xfId="0" applyNumberFormat="1" applyFont="1" applyFill="1" applyBorder="1" applyAlignment="1" applyProtection="1">
      <alignment/>
      <protection hidden="1" locked="0"/>
    </xf>
    <xf numFmtId="4" fontId="1" fillId="2" borderId="3" xfId="0" applyNumberFormat="1" applyFont="1" applyFill="1" applyBorder="1" applyAlignment="1" applyProtection="1">
      <alignment/>
      <protection hidden="1"/>
    </xf>
    <xf numFmtId="4" fontId="1" fillId="2" borderId="17" xfId="0" applyNumberFormat="1" applyFont="1" applyFill="1" applyBorder="1" applyAlignment="1" applyProtection="1">
      <alignment/>
      <protection hidden="1"/>
    </xf>
    <xf numFmtId="4" fontId="0" fillId="5" borderId="0" xfId="0" applyNumberFormat="1" applyFont="1" applyFill="1" applyBorder="1" applyAlignment="1" applyProtection="1">
      <alignment/>
      <protection hidden="1"/>
    </xf>
    <xf numFmtId="4" fontId="1" fillId="5" borderId="0" xfId="0" applyNumberFormat="1" applyFont="1" applyFill="1" applyBorder="1" applyAlignment="1" applyProtection="1">
      <alignment/>
      <protection hidden="1"/>
    </xf>
    <xf numFmtId="4" fontId="1" fillId="2" borderId="16" xfId="0" applyNumberFormat="1" applyFont="1" applyFill="1" applyBorder="1" applyAlignment="1" applyProtection="1">
      <alignment/>
      <protection hidden="1" locked="0"/>
    </xf>
    <xf numFmtId="4" fontId="1" fillId="6" borderId="6" xfId="0" applyNumberFormat="1" applyFont="1" applyFill="1" applyBorder="1" applyAlignment="1" applyProtection="1">
      <alignment/>
      <protection hidden="1"/>
    </xf>
    <xf numFmtId="4" fontId="1" fillId="6" borderId="6" xfId="0" applyNumberFormat="1" applyFont="1" applyFill="1" applyBorder="1" applyAlignment="1" applyProtection="1">
      <alignment horizontal="right"/>
      <protection hidden="1"/>
    </xf>
    <xf numFmtId="4" fontId="2" fillId="4" borderId="3" xfId="0" applyNumberFormat="1" applyFont="1" applyFill="1" applyBorder="1" applyAlignment="1" applyProtection="1">
      <alignment/>
      <protection hidden="1"/>
    </xf>
    <xf numFmtId="4" fontId="18" fillId="2" borderId="0" xfId="0" applyNumberFormat="1" applyFont="1" applyFill="1" applyAlignment="1" applyProtection="1">
      <alignment/>
      <protection hidden="1"/>
    </xf>
    <xf numFmtId="4" fontId="1" fillId="3" borderId="3" xfId="0" applyNumberFormat="1" applyFont="1" applyFill="1" applyBorder="1" applyAlignment="1" applyProtection="1">
      <alignment/>
      <protection hidden="1"/>
    </xf>
    <xf numFmtId="4" fontId="0" fillId="2" borderId="0" xfId="0" applyNumberFormat="1" applyFont="1" applyFill="1" applyBorder="1" applyAlignment="1" applyProtection="1">
      <alignment/>
      <protection hidden="1"/>
    </xf>
    <xf numFmtId="4" fontId="0" fillId="6" borderId="6" xfId="0" applyNumberFormat="1" applyFont="1" applyFill="1" applyBorder="1" applyAlignment="1" applyProtection="1">
      <alignment/>
      <protection/>
    </xf>
    <xf numFmtId="4" fontId="0" fillId="2" borderId="9" xfId="0" applyNumberFormat="1" applyFont="1" applyFill="1" applyBorder="1" applyAlignment="1" applyProtection="1">
      <alignment/>
      <protection/>
    </xf>
    <xf numFmtId="4" fontId="5" fillId="5" borderId="6" xfId="0" applyNumberFormat="1" applyFont="1" applyFill="1" applyBorder="1" applyAlignment="1" applyProtection="1">
      <alignment/>
      <protection hidden="1"/>
    </xf>
    <xf numFmtId="4" fontId="5" fillId="5" borderId="0" xfId="0" applyNumberFormat="1" applyFont="1" applyFill="1" applyBorder="1" applyAlignment="1" applyProtection="1">
      <alignment/>
      <protection hidden="1"/>
    </xf>
    <xf numFmtId="4" fontId="5" fillId="2" borderId="24" xfId="0" applyNumberFormat="1" applyFont="1" applyFill="1" applyBorder="1" applyAlignment="1" applyProtection="1">
      <alignment/>
      <protection hidden="1"/>
    </xf>
    <xf numFmtId="4" fontId="5" fillId="2" borderId="3" xfId="0" applyNumberFormat="1" applyFont="1" applyFill="1" applyBorder="1" applyAlignment="1" applyProtection="1">
      <alignment/>
      <protection hidden="1"/>
    </xf>
    <xf numFmtId="174" fontId="1" fillId="5" borderId="0" xfId="0" applyNumberFormat="1" applyFont="1" applyFill="1" applyAlignment="1" applyProtection="1">
      <alignment/>
      <protection locked="0"/>
    </xf>
    <xf numFmtId="0" fontId="39" fillId="0" borderId="0" xfId="0" applyFont="1" applyFill="1" applyAlignment="1" applyProtection="1">
      <alignment/>
      <protection/>
    </xf>
    <xf numFmtId="0" fontId="40" fillId="0" borderId="0" xfId="0" applyFont="1" applyAlignment="1" applyProtection="1">
      <alignment/>
      <protection/>
    </xf>
    <xf numFmtId="0" fontId="0" fillId="0" borderId="0" xfId="0" applyFont="1" applyAlignment="1" applyProtection="1">
      <alignment/>
      <protection/>
    </xf>
    <xf numFmtId="4" fontId="5" fillId="3" borderId="0" xfId="0" applyNumberFormat="1"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xf numFmtId="2" fontId="1" fillId="2" borderId="3" xfId="0" applyNumberFormat="1" applyFont="1" applyFill="1" applyBorder="1" applyAlignment="1" applyProtection="1">
      <alignment horizontal="right"/>
      <protection hidden="1" locked="0"/>
    </xf>
    <xf numFmtId="2" fontId="1" fillId="2" borderId="0" xfId="0" applyNumberFormat="1" applyFont="1" applyFill="1" applyBorder="1" applyAlignment="1" applyProtection="1">
      <alignment horizontal="right"/>
      <protection hidden="1" locked="0"/>
    </xf>
    <xf numFmtId="2" fontId="1" fillId="5" borderId="0" xfId="0" applyNumberFormat="1" applyFont="1" applyFill="1" applyBorder="1" applyAlignment="1" applyProtection="1">
      <alignment/>
      <protection hidden="1"/>
    </xf>
    <xf numFmtId="2" fontId="1" fillId="5" borderId="9" xfId="0" applyNumberFormat="1" applyFont="1" applyFill="1" applyBorder="1" applyAlignment="1" applyProtection="1">
      <alignment/>
      <protection/>
    </xf>
  </cellXfs>
  <cellStyles count="19">
    <cellStyle name="Normal" xfId="0"/>
    <cellStyle name="Comma" xfId="15"/>
    <cellStyle name="Comma [0]" xfId="16"/>
    <cellStyle name="Comma0" xfId="17"/>
    <cellStyle name="Currency" xfId="18"/>
    <cellStyle name="Currency [0]" xfId="19"/>
    <cellStyle name="Currency_Wine grapes break-even" xfId="20"/>
    <cellStyle name="Currency0" xfId="21"/>
    <cellStyle name="Date" xfId="22"/>
    <cellStyle name="Fixed" xfId="23"/>
    <cellStyle name="Followed Hyperlink" xfId="24"/>
    <cellStyle name="Heading 1" xfId="25"/>
    <cellStyle name="Heading 2" xfId="26"/>
    <cellStyle name="hidden" xfId="27"/>
    <cellStyle name="Hyperlink" xfId="28"/>
    <cellStyle name="locked" xfId="29"/>
    <cellStyle name="Normal_Wine grapes break-even" xfId="30"/>
    <cellStyle name="Percent" xfId="31"/>
    <cellStyle name="Total"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Net Returns Sensitivity
</a:t>
            </a:r>
            <a:r>
              <a:rPr lang="en-US" cap="none" sz="1200" b="0" i="0" u="none" baseline="0">
                <a:latin typeface="Arial"/>
                <a:ea typeface="Arial"/>
                <a:cs typeface="Arial"/>
              </a:rPr>
              <a:t>Response to Changing Price or Yield</a:t>
            </a:r>
          </a:p>
        </c:rich>
      </c:tx>
      <c:layout>
        <c:manualLayout>
          <c:xMode val="factor"/>
          <c:yMode val="factor"/>
          <c:x val="0.01075"/>
          <c:y val="0.02875"/>
        </c:manualLayout>
      </c:layout>
      <c:spPr>
        <a:noFill/>
        <a:ln>
          <a:noFill/>
        </a:ln>
      </c:spPr>
    </c:title>
    <c:view3D>
      <c:rotX val="15"/>
      <c:rotY val="30"/>
      <c:depthPercent val="100"/>
      <c:rAngAx val="0"/>
      <c:perspective val="30"/>
    </c:view3D>
    <c:plotArea>
      <c:layout>
        <c:manualLayout>
          <c:xMode val="edge"/>
          <c:yMode val="edge"/>
          <c:x val="0.01275"/>
          <c:y val="0.18075"/>
          <c:w val="0.97075"/>
          <c:h val="0.8015"/>
        </c:manualLayout>
      </c:layout>
      <c:bar3DChart>
        <c:barDir val="col"/>
        <c:grouping val="standard"/>
        <c:varyColors val="0"/>
        <c:ser>
          <c:idx val="0"/>
          <c:order val="0"/>
          <c:tx>
            <c:strRef>
              <c:f>'Price chg'!$B$3</c:f>
              <c:strCache>
                <c:ptCount val="1"/>
                <c:pt idx="0">
                  <c:v>32.00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chg'!$B$4:$H$4</c:f>
              <c:numCache>
                <c:ptCount val="7"/>
                <c:pt idx="0">
                  <c:v>-345.7670298920689</c:v>
                </c:pt>
                <c:pt idx="1">
                  <c:v>-323.81702989206883</c:v>
                </c:pt>
                <c:pt idx="2">
                  <c:v>-301.86702989206884</c:v>
                </c:pt>
                <c:pt idx="3">
                  <c:v>-279.91702989206885</c:v>
                </c:pt>
                <c:pt idx="4">
                  <c:v>-257.96702989206887</c:v>
                </c:pt>
                <c:pt idx="5">
                  <c:v>-236.01702989206888</c:v>
                </c:pt>
                <c:pt idx="6">
                  <c:v>-214.0670298920689</c:v>
                </c:pt>
              </c:numCache>
            </c:numRef>
          </c:val>
          <c:shape val="cone"/>
        </c:ser>
        <c:ser>
          <c:idx val="1"/>
          <c:order val="1"/>
          <c:tx>
            <c:strRef>
              <c:f>'Price chg'!$C$3</c:f>
              <c:strCache>
                <c:ptCount val="1"/>
                <c:pt idx="0">
                  <c:v>48.00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chg'!$B$5:$H$5</c:f>
              <c:numCache>
                <c:ptCount val="7"/>
                <c:pt idx="0">
                  <c:v>-313.7670298920689</c:v>
                </c:pt>
                <c:pt idx="1">
                  <c:v>-275.8170298920689</c:v>
                </c:pt>
                <c:pt idx="2">
                  <c:v>-237.86702989206887</c:v>
                </c:pt>
                <c:pt idx="3">
                  <c:v>-199.91702989206885</c:v>
                </c:pt>
                <c:pt idx="4">
                  <c:v>-161.9670298920689</c:v>
                </c:pt>
                <c:pt idx="5">
                  <c:v>-124.01702989206889</c:v>
                </c:pt>
                <c:pt idx="6">
                  <c:v>-86.06702989206889</c:v>
                </c:pt>
              </c:numCache>
            </c:numRef>
          </c:val>
          <c:shape val="cone"/>
        </c:ser>
        <c:ser>
          <c:idx val="2"/>
          <c:order val="2"/>
          <c:tx>
            <c:strRef>
              <c:f>'Price chg'!$D$3</c:f>
              <c:strCache>
                <c:ptCount val="1"/>
                <c:pt idx="0">
                  <c:v>64.00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chg'!$B$6:$H$6</c:f>
              <c:numCache>
                <c:ptCount val="7"/>
                <c:pt idx="0">
                  <c:v>-281.7670298920689</c:v>
                </c:pt>
                <c:pt idx="1">
                  <c:v>-227.8170298920689</c:v>
                </c:pt>
                <c:pt idx="2">
                  <c:v>-173.86702989206887</c:v>
                </c:pt>
                <c:pt idx="3">
                  <c:v>-119.91702989206888</c:v>
                </c:pt>
                <c:pt idx="4">
                  <c:v>-65.9670298920689</c:v>
                </c:pt>
                <c:pt idx="5">
                  <c:v>-12.01702989206889</c:v>
                </c:pt>
                <c:pt idx="6">
                  <c:v>41.93297010793117</c:v>
                </c:pt>
              </c:numCache>
            </c:numRef>
          </c:val>
          <c:shape val="cone"/>
        </c:ser>
        <c:ser>
          <c:idx val="3"/>
          <c:order val="3"/>
          <c:tx>
            <c:strRef>
              <c:f>'Price chg'!$E$3</c:f>
              <c:strCache>
                <c:ptCount val="1"/>
                <c:pt idx="0">
                  <c:v>80.00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chg'!$B$7:$H$7</c:f>
              <c:numCache>
                <c:ptCount val="7"/>
                <c:pt idx="0">
                  <c:v>-249.76702989206885</c:v>
                </c:pt>
                <c:pt idx="1">
                  <c:v>-179.81702989206886</c:v>
                </c:pt>
                <c:pt idx="2">
                  <c:v>-109.86702989206887</c:v>
                </c:pt>
                <c:pt idx="3">
                  <c:v>-39.917029892068825</c:v>
                </c:pt>
                <c:pt idx="4">
                  <c:v>30.03297010793117</c:v>
                </c:pt>
                <c:pt idx="5">
                  <c:v>99.98297010793117</c:v>
                </c:pt>
                <c:pt idx="6">
                  <c:v>169.93297010793117</c:v>
                </c:pt>
              </c:numCache>
            </c:numRef>
          </c:val>
          <c:shape val="cone"/>
        </c:ser>
        <c:ser>
          <c:idx val="4"/>
          <c:order val="4"/>
          <c:tx>
            <c:strRef>
              <c:f>'Price chg'!$F$3</c:f>
              <c:strCache>
                <c:ptCount val="1"/>
                <c:pt idx="0">
                  <c:v>96.00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chg'!$B$8:$H$8</c:f>
              <c:numCache>
                <c:ptCount val="7"/>
                <c:pt idx="0">
                  <c:v>-217.76702989206888</c:v>
                </c:pt>
                <c:pt idx="1">
                  <c:v>-131.8170298920689</c:v>
                </c:pt>
                <c:pt idx="2">
                  <c:v>-45.86702989206888</c:v>
                </c:pt>
                <c:pt idx="3">
                  <c:v>40.082970107931175</c:v>
                </c:pt>
                <c:pt idx="4">
                  <c:v>126.03297010793116</c:v>
                </c:pt>
                <c:pt idx="5">
                  <c:v>211.98297010793112</c:v>
                </c:pt>
                <c:pt idx="6">
                  <c:v>297.93297010793117</c:v>
                </c:pt>
              </c:numCache>
            </c:numRef>
          </c:val>
          <c:shape val="cone"/>
        </c:ser>
        <c:ser>
          <c:idx val="5"/>
          <c:order val="5"/>
          <c:tx>
            <c:strRef>
              <c:f>'Price chg'!$G$3</c:f>
              <c:strCache>
                <c:ptCount val="1"/>
                <c:pt idx="0">
                  <c:v>112.00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chg'!$B$9:$H$9</c:f>
              <c:numCache>
                <c:ptCount val="7"/>
                <c:pt idx="0">
                  <c:v>-185.76702989206888</c:v>
                </c:pt>
                <c:pt idx="1">
                  <c:v>-83.81702989206889</c:v>
                </c:pt>
                <c:pt idx="2">
                  <c:v>18.132970107931122</c:v>
                </c:pt>
                <c:pt idx="3">
                  <c:v>120.08297010793117</c:v>
                </c:pt>
                <c:pt idx="4">
                  <c:v>222.03297010793113</c:v>
                </c:pt>
                <c:pt idx="5">
                  <c:v>323.9829701079311</c:v>
                </c:pt>
                <c:pt idx="6">
                  <c:v>425.9329701079313</c:v>
                </c:pt>
              </c:numCache>
            </c:numRef>
          </c:val>
          <c:shape val="cone"/>
        </c:ser>
        <c:ser>
          <c:idx val="6"/>
          <c:order val="6"/>
          <c:tx>
            <c:strRef>
              <c:f>'Price chg'!$H$3</c:f>
              <c:strCache>
                <c:ptCount val="1"/>
                <c:pt idx="0">
                  <c:v>128.00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'Yield chg'!$B$3:$H$3</c:f>
              <c:numCache>
                <c:ptCount val="7"/>
                <c:pt idx="0">
                  <c:v>1.9999999999999996</c:v>
                </c:pt>
                <c:pt idx="1">
                  <c:v>2.9999999999999996</c:v>
                </c:pt>
                <c:pt idx="2">
                  <c:v>3.9999999999999996</c:v>
                </c:pt>
                <c:pt idx="3">
                  <c:v>5</c:v>
                </c:pt>
                <c:pt idx="4">
                  <c:v>6</c:v>
                </c:pt>
                <c:pt idx="5">
                  <c:v>7</c:v>
                </c:pt>
                <c:pt idx="6">
                  <c:v>8</c:v>
                </c:pt>
              </c:numCache>
            </c:numRef>
          </c:cat>
          <c:val>
            <c:numRef>
              <c:f>'P&amp;Y chg'!$B$10:$H$10</c:f>
              <c:numCache>
                <c:ptCount val="7"/>
                <c:pt idx="0">
                  <c:v>-153.76702989206888</c:v>
                </c:pt>
                <c:pt idx="1">
                  <c:v>-35.81702989206888</c:v>
                </c:pt>
                <c:pt idx="2">
                  <c:v>82.13297010793119</c:v>
                </c:pt>
                <c:pt idx="3">
                  <c:v>200.08297010793117</c:v>
                </c:pt>
                <c:pt idx="4">
                  <c:v>318.03297010793113</c:v>
                </c:pt>
                <c:pt idx="5">
                  <c:v>435.98297010793124</c:v>
                </c:pt>
                <c:pt idx="6">
                  <c:v>553.9329701079313</c:v>
                </c:pt>
              </c:numCache>
            </c:numRef>
          </c:val>
          <c:shape val="cone"/>
        </c:ser>
        <c:shape val="cone"/>
        <c:axId val="49402805"/>
        <c:axId val="41972062"/>
        <c:axId val="42204239"/>
      </c:bar3DChart>
      <c:catAx>
        <c:axId val="49402805"/>
        <c:scaling>
          <c:orientation val="minMax"/>
        </c:scaling>
        <c:axPos val="b"/>
        <c:title>
          <c:tx>
            <c:rich>
              <a:bodyPr vert="horz" rot="0" anchor="ctr"/>
              <a:lstStyle/>
              <a:p>
                <a:pPr algn="ctr">
                  <a:defRPr/>
                </a:pPr>
                <a:r>
                  <a:rPr lang="en-US" cap="none" sz="1300" b="1" i="0" u="none" baseline="0">
                    <a:latin typeface="Arial"/>
                    <a:ea typeface="Arial"/>
                    <a:cs typeface="Arial"/>
                  </a:rPr>
                  <a:t>Yields</a:t>
                </a:r>
              </a:p>
            </c:rich>
          </c:tx>
          <c:layout>
            <c:manualLayout>
              <c:xMode val="factor"/>
              <c:yMode val="factor"/>
              <c:x val="0.0515"/>
              <c:y val="0.00925"/>
            </c:manualLayout>
          </c:layout>
          <c:overlay val="0"/>
          <c:spPr>
            <a:noFill/>
            <a:ln>
              <a:noFill/>
            </a:ln>
          </c:spPr>
        </c:title>
        <c:delete val="0"/>
        <c:numFmt formatCode="General" sourceLinked="1"/>
        <c:majorTickMark val="out"/>
        <c:minorTickMark val="none"/>
        <c:tickLblPos val="low"/>
        <c:spPr>
          <a:ln w="38100">
            <a:solidFill/>
          </a:ln>
        </c:spPr>
        <c:crossAx val="41972062"/>
        <c:crosses val="autoZero"/>
        <c:auto val="1"/>
        <c:lblOffset val="100"/>
        <c:noMultiLvlLbl val="0"/>
      </c:catAx>
      <c:valAx>
        <c:axId val="41972062"/>
        <c:scaling>
          <c:orientation val="minMax"/>
        </c:scaling>
        <c:axPos val="l"/>
        <c:title>
          <c:tx>
            <c:rich>
              <a:bodyPr vert="horz" rot="-5400000" anchor="ctr"/>
              <a:lstStyle/>
              <a:p>
                <a:pPr algn="ctr">
                  <a:defRPr/>
                </a:pPr>
                <a:r>
                  <a:rPr lang="en-US" cap="none" sz="1300" b="1" i="0" u="none" baseline="0">
                    <a:latin typeface="Arial"/>
                    <a:ea typeface="Arial"/>
                    <a:cs typeface="Arial"/>
                  </a:rPr>
                  <a:t>Net Returns  ($/Acre)</a:t>
                </a:r>
              </a:p>
            </c:rich>
          </c:tx>
          <c:layout/>
          <c:overlay val="0"/>
          <c:spPr>
            <a:noFill/>
            <a:ln>
              <a:noFill/>
            </a:ln>
          </c:spPr>
        </c:title>
        <c:majorGridlines/>
        <c:delete val="0"/>
        <c:numFmt formatCode="General" sourceLinked="1"/>
        <c:majorTickMark val="out"/>
        <c:minorTickMark val="none"/>
        <c:tickLblPos val="nextTo"/>
        <c:crossAx val="49402805"/>
        <c:crossesAt val="1"/>
        <c:crossBetween val="between"/>
        <c:dispUnits/>
      </c:valAx>
      <c:serAx>
        <c:axId val="42204239"/>
        <c:scaling>
          <c:orientation val="minMax"/>
        </c:scaling>
        <c:axPos val="b"/>
        <c:title>
          <c:tx>
            <c:rich>
              <a:bodyPr vert="horz" rot="0" anchor="ctr"/>
              <a:lstStyle/>
              <a:p>
                <a:pPr algn="ctr">
                  <a:defRPr/>
                </a:pPr>
                <a:r>
                  <a:rPr lang="en-US" cap="none" sz="1300" b="1" i="0" u="none" baseline="0">
                    <a:latin typeface="Arial"/>
                    <a:ea typeface="Arial"/>
                    <a:cs typeface="Arial"/>
                  </a:rPr>
                  <a:t>Price</a:t>
                </a:r>
              </a:p>
            </c:rich>
          </c:tx>
          <c:layout>
            <c:manualLayout>
              <c:xMode val="factor"/>
              <c:yMode val="factor"/>
              <c:x val="-0.031"/>
              <c:y val="0.01"/>
            </c:manualLayout>
          </c:layout>
          <c:overlay val="0"/>
          <c:spPr>
            <a:noFill/>
            <a:ln>
              <a:noFill/>
            </a:ln>
          </c:spPr>
        </c:title>
        <c:delete val="0"/>
        <c:numFmt formatCode="&quot;$&quot;#,##0.00" sourceLinked="0"/>
        <c:majorTickMark val="out"/>
        <c:minorTickMark val="none"/>
        <c:tickLblPos val="low"/>
        <c:spPr>
          <a:ln w="38100">
            <a:solidFill/>
          </a:ln>
        </c:spPr>
        <c:crossAx val="41972062"/>
        <c:crosses val="autoZero"/>
        <c:tickLblSkip val="1"/>
        <c:tickMarkSkip val="1"/>
      </c:serAx>
      <c:spPr>
        <a:noFill/>
        <a:ln>
          <a:noFill/>
        </a:ln>
      </c:spPr>
    </c:plotArea>
    <c:floor>
      <c:spPr>
        <a:noFill/>
        <a:ln w="38100">
          <a:solidFill/>
        </a:ln>
      </c:spPr>
      <c:thickness val="0"/>
    </c:floor>
    <c:sideWall>
      <c:spPr>
        <a:noFill/>
        <a:ln w="38100">
          <a:solidFill/>
        </a:ln>
      </c:spPr>
      <c:thickness val="0"/>
    </c:sideWall>
    <c:backWall>
      <c:spPr>
        <a:noFill/>
        <a:ln w="3810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9"/>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7.png" /><Relationship Id="rId3" Type="http://schemas.openxmlformats.org/officeDocument/2006/relationships/image" Target="../media/image25.png" /><Relationship Id="rId4" Type="http://schemas.openxmlformats.org/officeDocument/2006/relationships/image" Target="../media/image5.png" /><Relationship Id="rId5" Type="http://schemas.openxmlformats.org/officeDocument/2006/relationships/image" Target="../media/image4.png" /><Relationship Id="rId6" Type="http://schemas.openxmlformats.org/officeDocument/2006/relationships/image" Target="../media/image1.png" /><Relationship Id="rId7" Type="http://schemas.openxmlformats.org/officeDocument/2006/relationships/image" Target="../media/image11.jpeg" /><Relationship Id="rId8" Type="http://schemas.openxmlformats.org/officeDocument/2006/relationships/image" Target="../media/image6.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3.png" /><Relationship Id="rId12" Type="http://schemas.openxmlformats.org/officeDocument/2006/relationships/image" Target="../media/image26.png" /><Relationship Id="rId13" Type="http://schemas.openxmlformats.org/officeDocument/2006/relationships/image" Target="../media/image8.png" /><Relationship Id="rId14" Type="http://schemas.openxmlformats.org/officeDocument/2006/relationships/image" Target="../media/image27.png" /><Relationship Id="rId15"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23.emf" /><Relationship Id="rId5" Type="http://schemas.openxmlformats.org/officeDocument/2006/relationships/image" Target="../media/image12.emf" /><Relationship Id="rId6" Type="http://schemas.openxmlformats.org/officeDocument/2006/relationships/image" Target="../media/image2.emf" /><Relationship Id="rId7" Type="http://schemas.openxmlformats.org/officeDocument/2006/relationships/image" Target="../media/image22.emf" /><Relationship Id="rId8" Type="http://schemas.openxmlformats.org/officeDocument/2006/relationships/image" Target="../media/image10.emf" /><Relationship Id="rId9" Type="http://schemas.openxmlformats.org/officeDocument/2006/relationships/image" Target="../media/image21.emf" /><Relationship Id="rId10" Type="http://schemas.openxmlformats.org/officeDocument/2006/relationships/image" Target="../media/image18.emf" /><Relationship Id="rId11"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277</xdr:row>
      <xdr:rowOff>142875</xdr:rowOff>
    </xdr:from>
    <xdr:to>
      <xdr:col>11</xdr:col>
      <xdr:colOff>504825</xdr:colOff>
      <xdr:row>286</xdr:row>
      <xdr:rowOff>0</xdr:rowOff>
    </xdr:to>
    <xdr:pic>
      <xdr:nvPicPr>
        <xdr:cNvPr id="1" name="Picture 114"/>
        <xdr:cNvPicPr preferRelativeResize="1">
          <a:picLocks noChangeAspect="1"/>
        </xdr:cNvPicPr>
      </xdr:nvPicPr>
      <xdr:blipFill>
        <a:blip r:embed="rId1"/>
        <a:stretch>
          <a:fillRect/>
        </a:stretch>
      </xdr:blipFill>
      <xdr:spPr>
        <a:xfrm>
          <a:off x="1314450" y="46224825"/>
          <a:ext cx="5895975" cy="1314450"/>
        </a:xfrm>
        <a:prstGeom prst="rect">
          <a:avLst/>
        </a:prstGeom>
        <a:noFill/>
        <a:ln w="12700" cmpd="sng">
          <a:solidFill>
            <a:srgbClr val="000000"/>
          </a:solidFill>
          <a:headEnd type="none"/>
          <a:tailEnd type="none"/>
        </a:ln>
      </xdr:spPr>
    </xdr:pic>
    <xdr:clientData/>
  </xdr:twoCellAnchor>
  <xdr:twoCellAnchor editAs="oneCell">
    <xdr:from>
      <xdr:col>0</xdr:col>
      <xdr:colOff>238125</xdr:colOff>
      <xdr:row>245</xdr:row>
      <xdr:rowOff>66675</xdr:rowOff>
    </xdr:from>
    <xdr:to>
      <xdr:col>10</xdr:col>
      <xdr:colOff>371475</xdr:colOff>
      <xdr:row>269</xdr:row>
      <xdr:rowOff>38100</xdr:rowOff>
    </xdr:to>
    <xdr:pic>
      <xdr:nvPicPr>
        <xdr:cNvPr id="2" name="Picture 113"/>
        <xdr:cNvPicPr preferRelativeResize="1">
          <a:picLocks noChangeAspect="1"/>
        </xdr:cNvPicPr>
      </xdr:nvPicPr>
      <xdr:blipFill>
        <a:blip r:embed="rId2"/>
        <a:stretch>
          <a:fillRect/>
        </a:stretch>
      </xdr:blipFill>
      <xdr:spPr>
        <a:xfrm>
          <a:off x="238125" y="40938450"/>
          <a:ext cx="6229350" cy="3857625"/>
        </a:xfrm>
        <a:prstGeom prst="rect">
          <a:avLst/>
        </a:prstGeom>
        <a:noFill/>
        <a:ln w="12700" cmpd="sng">
          <a:solidFill>
            <a:srgbClr val="000000"/>
          </a:solidFill>
          <a:headEnd type="none"/>
          <a:tailEnd type="none"/>
        </a:ln>
      </xdr:spPr>
    </xdr:pic>
    <xdr:clientData/>
  </xdr:twoCellAnchor>
  <xdr:twoCellAnchor editAs="oneCell">
    <xdr:from>
      <xdr:col>1</xdr:col>
      <xdr:colOff>400050</xdr:colOff>
      <xdr:row>203</xdr:row>
      <xdr:rowOff>142875</xdr:rowOff>
    </xdr:from>
    <xdr:to>
      <xdr:col>7</xdr:col>
      <xdr:colOff>209550</xdr:colOff>
      <xdr:row>232</xdr:row>
      <xdr:rowOff>38100</xdr:rowOff>
    </xdr:to>
    <xdr:pic>
      <xdr:nvPicPr>
        <xdr:cNvPr id="3" name="Picture 110"/>
        <xdr:cNvPicPr preferRelativeResize="1">
          <a:picLocks noChangeAspect="1"/>
        </xdr:cNvPicPr>
      </xdr:nvPicPr>
      <xdr:blipFill>
        <a:blip r:embed="rId3"/>
        <a:stretch>
          <a:fillRect/>
        </a:stretch>
      </xdr:blipFill>
      <xdr:spPr>
        <a:xfrm>
          <a:off x="1009650" y="34185225"/>
          <a:ext cx="3467100" cy="4591050"/>
        </a:xfrm>
        <a:prstGeom prst="rect">
          <a:avLst/>
        </a:prstGeom>
        <a:noFill/>
        <a:ln w="12700" cmpd="sng">
          <a:solidFill>
            <a:srgbClr val="000000"/>
          </a:solidFill>
          <a:headEnd type="none"/>
          <a:tailEnd type="none"/>
        </a:ln>
      </xdr:spPr>
    </xdr:pic>
    <xdr:clientData/>
  </xdr:twoCellAnchor>
  <xdr:twoCellAnchor editAs="oneCell">
    <xdr:from>
      <xdr:col>0</xdr:col>
      <xdr:colOff>123825</xdr:colOff>
      <xdr:row>47</xdr:row>
      <xdr:rowOff>28575</xdr:rowOff>
    </xdr:from>
    <xdr:to>
      <xdr:col>11</xdr:col>
      <xdr:colOff>276225</xdr:colOff>
      <xdr:row>55</xdr:row>
      <xdr:rowOff>9525</xdr:rowOff>
    </xdr:to>
    <xdr:pic>
      <xdr:nvPicPr>
        <xdr:cNvPr id="4" name="Picture 109"/>
        <xdr:cNvPicPr preferRelativeResize="1">
          <a:picLocks noChangeAspect="1"/>
        </xdr:cNvPicPr>
      </xdr:nvPicPr>
      <xdr:blipFill>
        <a:blip r:embed="rId4"/>
        <a:stretch>
          <a:fillRect/>
        </a:stretch>
      </xdr:blipFill>
      <xdr:spPr>
        <a:xfrm>
          <a:off x="123825" y="8753475"/>
          <a:ext cx="6858000" cy="1276350"/>
        </a:xfrm>
        <a:prstGeom prst="rect">
          <a:avLst/>
        </a:prstGeom>
        <a:noFill/>
        <a:ln w="12700" cmpd="sng">
          <a:solidFill>
            <a:srgbClr val="000000"/>
          </a:solidFill>
          <a:headEnd type="none"/>
          <a:tailEnd type="none"/>
        </a:ln>
      </xdr:spPr>
    </xdr:pic>
    <xdr:clientData/>
  </xdr:twoCellAnchor>
  <xdr:twoCellAnchor editAs="oneCell">
    <xdr:from>
      <xdr:col>4</xdr:col>
      <xdr:colOff>533400</xdr:colOff>
      <xdr:row>69</xdr:row>
      <xdr:rowOff>85725</xdr:rowOff>
    </xdr:from>
    <xdr:to>
      <xdr:col>7</xdr:col>
      <xdr:colOff>285750</xdr:colOff>
      <xdr:row>86</xdr:row>
      <xdr:rowOff>133350</xdr:rowOff>
    </xdr:to>
    <xdr:pic>
      <xdr:nvPicPr>
        <xdr:cNvPr id="5" name="Picture 90"/>
        <xdr:cNvPicPr preferRelativeResize="1">
          <a:picLocks noChangeAspect="1"/>
        </xdr:cNvPicPr>
      </xdr:nvPicPr>
      <xdr:blipFill>
        <a:blip r:embed="rId5"/>
        <a:stretch>
          <a:fillRect/>
        </a:stretch>
      </xdr:blipFill>
      <xdr:spPr>
        <a:xfrm>
          <a:off x="2971800" y="12401550"/>
          <a:ext cx="1581150" cy="2800350"/>
        </a:xfrm>
        <a:prstGeom prst="rect">
          <a:avLst/>
        </a:prstGeom>
        <a:noFill/>
        <a:ln w="1" cmpd="sng">
          <a:noFill/>
        </a:ln>
      </xdr:spPr>
    </xdr:pic>
    <xdr:clientData/>
  </xdr:twoCellAnchor>
  <xdr:twoCellAnchor editAs="oneCell">
    <xdr:from>
      <xdr:col>2</xdr:col>
      <xdr:colOff>190500</xdr:colOff>
      <xdr:row>6</xdr:row>
      <xdr:rowOff>95250</xdr:rowOff>
    </xdr:from>
    <xdr:to>
      <xdr:col>8</xdr:col>
      <xdr:colOff>361950</xdr:colOff>
      <xdr:row>12</xdr:row>
      <xdr:rowOff>142875</xdr:rowOff>
    </xdr:to>
    <xdr:pic>
      <xdr:nvPicPr>
        <xdr:cNvPr id="6" name="Picture 1"/>
        <xdr:cNvPicPr preferRelativeResize="1">
          <a:picLocks noChangeAspect="1"/>
        </xdr:cNvPicPr>
      </xdr:nvPicPr>
      <xdr:blipFill>
        <a:blip r:embed="rId6"/>
        <a:stretch>
          <a:fillRect/>
        </a:stretch>
      </xdr:blipFill>
      <xdr:spPr>
        <a:xfrm>
          <a:off x="1409700" y="1466850"/>
          <a:ext cx="3829050" cy="1419225"/>
        </a:xfrm>
        <a:prstGeom prst="rect">
          <a:avLst/>
        </a:prstGeom>
        <a:noFill/>
        <a:ln w="9525" cmpd="sng">
          <a:noFill/>
        </a:ln>
      </xdr:spPr>
    </xdr:pic>
    <xdr:clientData/>
  </xdr:twoCellAnchor>
  <xdr:twoCellAnchor>
    <xdr:from>
      <xdr:col>4</xdr:col>
      <xdr:colOff>428625</xdr:colOff>
      <xdr:row>46</xdr:row>
      <xdr:rowOff>28575</xdr:rowOff>
    </xdr:from>
    <xdr:to>
      <xdr:col>6</xdr:col>
      <xdr:colOff>419100</xdr:colOff>
      <xdr:row>51</xdr:row>
      <xdr:rowOff>19050</xdr:rowOff>
    </xdr:to>
    <xdr:sp>
      <xdr:nvSpPr>
        <xdr:cNvPr id="7" name="Line 3"/>
        <xdr:cNvSpPr>
          <a:spLocks/>
        </xdr:cNvSpPr>
      </xdr:nvSpPr>
      <xdr:spPr>
        <a:xfrm>
          <a:off x="2867025" y="8591550"/>
          <a:ext cx="12096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62</xdr:row>
      <xdr:rowOff>19050</xdr:rowOff>
    </xdr:from>
    <xdr:to>
      <xdr:col>4</xdr:col>
      <xdr:colOff>247650</xdr:colOff>
      <xdr:row>78</xdr:row>
      <xdr:rowOff>114300</xdr:rowOff>
    </xdr:to>
    <xdr:sp>
      <xdr:nvSpPr>
        <xdr:cNvPr id="8" name="TextBox 5"/>
        <xdr:cNvSpPr txBox="1">
          <a:spLocks noChangeArrowheads="1"/>
        </xdr:cNvSpPr>
      </xdr:nvSpPr>
      <xdr:spPr>
        <a:xfrm>
          <a:off x="628650" y="11201400"/>
          <a:ext cx="2057400" cy="26860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add a new operation, first click your cursor on the line below which you want the new operation to appear. Then click the "Add Operation" button.  A blank operation with zero costs will be added under the line on which you clicked your cursor prior to adding the operation.  You can enter the name and costs of the new operation directly (see above) or use the other buttons explained here.  This button will also add lines in the fixed cost section, but you will not be allowed to add materials there.</a:t>
          </a:r>
        </a:p>
      </xdr:txBody>
    </xdr:sp>
    <xdr:clientData/>
  </xdr:twoCellAnchor>
  <xdr:twoCellAnchor>
    <xdr:from>
      <xdr:col>7</xdr:col>
      <xdr:colOff>552450</xdr:colOff>
      <xdr:row>70</xdr:row>
      <xdr:rowOff>104775</xdr:rowOff>
    </xdr:from>
    <xdr:to>
      <xdr:col>11</xdr:col>
      <xdr:colOff>171450</xdr:colOff>
      <xdr:row>78</xdr:row>
      <xdr:rowOff>123825</xdr:rowOff>
    </xdr:to>
    <xdr:sp>
      <xdr:nvSpPr>
        <xdr:cNvPr id="9" name="TextBox 6"/>
        <xdr:cNvSpPr txBox="1">
          <a:spLocks noChangeArrowheads="1"/>
        </xdr:cNvSpPr>
      </xdr:nvSpPr>
      <xdr:spPr>
        <a:xfrm>
          <a:off x="4819650" y="12582525"/>
          <a:ext cx="2057400" cy="13144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delete an existing operation, click your cursor on it, then click the "Delete Operation" button.  You can also use this button to delete lines in the fixed cost section of the budget.  You will be asked for confirmation before an operation is actually deleted</a:t>
          </a:r>
        </a:p>
      </xdr:txBody>
    </xdr:sp>
    <xdr:clientData/>
  </xdr:twoCellAnchor>
  <xdr:twoCellAnchor>
    <xdr:from>
      <xdr:col>1</xdr:col>
      <xdr:colOff>57150</xdr:colOff>
      <xdr:row>79</xdr:row>
      <xdr:rowOff>57150</xdr:rowOff>
    </xdr:from>
    <xdr:to>
      <xdr:col>4</xdr:col>
      <xdr:colOff>171450</xdr:colOff>
      <xdr:row>89</xdr:row>
      <xdr:rowOff>114300</xdr:rowOff>
    </xdr:to>
    <xdr:sp>
      <xdr:nvSpPr>
        <xdr:cNvPr id="10" name="TextBox 7"/>
        <xdr:cNvSpPr txBox="1">
          <a:spLocks noChangeArrowheads="1"/>
        </xdr:cNvSpPr>
      </xdr:nvSpPr>
      <xdr:spPr>
        <a:xfrm>
          <a:off x="666750" y="13992225"/>
          <a:ext cx="1943100" cy="1676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to calculate the costs of performing machinery operations.  A series of pop-up windows will appear, in which a self-propelled power unit and up to two towed implements can be selected.  Default cost and performance data come from the "Machinery" page, but the data can be modified to fit your farm</a:t>
          </a:r>
        </a:p>
      </xdr:txBody>
    </xdr:sp>
    <xdr:clientData/>
  </xdr:twoCellAnchor>
  <xdr:twoCellAnchor>
    <xdr:from>
      <xdr:col>7</xdr:col>
      <xdr:colOff>581025</xdr:colOff>
      <xdr:row>79</xdr:row>
      <xdr:rowOff>57150</xdr:rowOff>
    </xdr:from>
    <xdr:to>
      <xdr:col>11</xdr:col>
      <xdr:colOff>171450</xdr:colOff>
      <xdr:row>88</xdr:row>
      <xdr:rowOff>142875</xdr:rowOff>
    </xdr:to>
    <xdr:sp>
      <xdr:nvSpPr>
        <xdr:cNvPr id="11" name="TextBox 8"/>
        <xdr:cNvSpPr txBox="1">
          <a:spLocks noChangeArrowheads="1"/>
        </xdr:cNvSpPr>
      </xdr:nvSpPr>
      <xdr:spPr>
        <a:xfrm>
          <a:off x="4848225" y="13992225"/>
          <a:ext cx="2028825" cy="15430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to calculate the costs of performing operations with vehicles (trucks, autos, ATV's).  A series of windows will appear, in which a vehicle can be selected.  Default cost and performance data come from the "Vehicles" page, but the data can be modified to fit your farm.</a:t>
          </a:r>
        </a:p>
      </xdr:txBody>
    </xdr:sp>
    <xdr:clientData/>
  </xdr:twoCellAnchor>
  <xdr:twoCellAnchor>
    <xdr:from>
      <xdr:col>1</xdr:col>
      <xdr:colOff>95250</xdr:colOff>
      <xdr:row>91</xdr:row>
      <xdr:rowOff>19050</xdr:rowOff>
    </xdr:from>
    <xdr:to>
      <xdr:col>4</xdr:col>
      <xdr:colOff>171450</xdr:colOff>
      <xdr:row>101</xdr:row>
      <xdr:rowOff>9525</xdr:rowOff>
    </xdr:to>
    <xdr:sp>
      <xdr:nvSpPr>
        <xdr:cNvPr id="12" name="TextBox 9"/>
        <xdr:cNvSpPr txBox="1">
          <a:spLocks noChangeArrowheads="1"/>
        </xdr:cNvSpPr>
      </xdr:nvSpPr>
      <xdr:spPr>
        <a:xfrm>
          <a:off x="704850" y="15897225"/>
          <a:ext cx="1905000" cy="1609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if you would like to add a material or custom service to an operation.  First click on the relevant operation, then click the "Add Material" box.  A blank line will be added below the operation which can then be edited by adding the name, price and quantity of the new material or service.</a:t>
          </a:r>
        </a:p>
      </xdr:txBody>
    </xdr:sp>
    <xdr:clientData/>
  </xdr:twoCellAnchor>
  <xdr:twoCellAnchor>
    <xdr:from>
      <xdr:col>7</xdr:col>
      <xdr:colOff>590550</xdr:colOff>
      <xdr:row>89</xdr:row>
      <xdr:rowOff>85725</xdr:rowOff>
    </xdr:from>
    <xdr:to>
      <xdr:col>11</xdr:col>
      <xdr:colOff>19050</xdr:colOff>
      <xdr:row>99</xdr:row>
      <xdr:rowOff>66675</xdr:rowOff>
    </xdr:to>
    <xdr:sp>
      <xdr:nvSpPr>
        <xdr:cNvPr id="13" name="TextBox 10"/>
        <xdr:cNvSpPr txBox="1">
          <a:spLocks noChangeArrowheads="1"/>
        </xdr:cNvSpPr>
      </xdr:nvSpPr>
      <xdr:spPr>
        <a:xfrm>
          <a:off x="4857750" y="15640050"/>
          <a:ext cx="1866900" cy="1600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if you want to delete a material or service associated with an existing operation.  Simply click on the material to be deleted, then click the "Delete Material" button.  You will be asked for confirmation before it is actually deleted.</a:t>
          </a:r>
        </a:p>
      </xdr:txBody>
    </xdr:sp>
    <xdr:clientData/>
  </xdr:twoCellAnchor>
  <xdr:twoCellAnchor>
    <xdr:from>
      <xdr:col>4</xdr:col>
      <xdr:colOff>171450</xdr:colOff>
      <xdr:row>81</xdr:row>
      <xdr:rowOff>57150</xdr:rowOff>
    </xdr:from>
    <xdr:to>
      <xdr:col>5</xdr:col>
      <xdr:colOff>57150</xdr:colOff>
      <xdr:row>91</xdr:row>
      <xdr:rowOff>19050</xdr:rowOff>
    </xdr:to>
    <xdr:sp>
      <xdr:nvSpPr>
        <xdr:cNvPr id="14" name="Line 29"/>
        <xdr:cNvSpPr>
          <a:spLocks/>
        </xdr:cNvSpPr>
      </xdr:nvSpPr>
      <xdr:spPr>
        <a:xfrm flipV="1">
          <a:off x="2609850" y="14316075"/>
          <a:ext cx="49530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83</xdr:row>
      <xdr:rowOff>104775</xdr:rowOff>
    </xdr:from>
    <xdr:to>
      <xdr:col>7</xdr:col>
      <xdr:colOff>590550</xdr:colOff>
      <xdr:row>89</xdr:row>
      <xdr:rowOff>85725</xdr:rowOff>
    </xdr:to>
    <xdr:sp>
      <xdr:nvSpPr>
        <xdr:cNvPr id="15" name="Line 31"/>
        <xdr:cNvSpPr>
          <a:spLocks/>
        </xdr:cNvSpPr>
      </xdr:nvSpPr>
      <xdr:spPr>
        <a:xfrm flipH="1" flipV="1">
          <a:off x="4476750" y="14687550"/>
          <a:ext cx="38100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79</xdr:row>
      <xdr:rowOff>57150</xdr:rowOff>
    </xdr:from>
    <xdr:to>
      <xdr:col>7</xdr:col>
      <xdr:colOff>561975</xdr:colOff>
      <xdr:row>79</xdr:row>
      <xdr:rowOff>114300</xdr:rowOff>
    </xdr:to>
    <xdr:sp>
      <xdr:nvSpPr>
        <xdr:cNvPr id="16" name="Line 32"/>
        <xdr:cNvSpPr>
          <a:spLocks/>
        </xdr:cNvSpPr>
      </xdr:nvSpPr>
      <xdr:spPr>
        <a:xfrm flipH="1" flipV="1">
          <a:off x="4400550" y="13992225"/>
          <a:ext cx="4286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79</xdr:row>
      <xdr:rowOff>114300</xdr:rowOff>
    </xdr:from>
    <xdr:to>
      <xdr:col>5</xdr:col>
      <xdr:colOff>104775</xdr:colOff>
      <xdr:row>79</xdr:row>
      <xdr:rowOff>133350</xdr:rowOff>
    </xdr:to>
    <xdr:sp>
      <xdr:nvSpPr>
        <xdr:cNvPr id="17" name="Line 33"/>
        <xdr:cNvSpPr>
          <a:spLocks/>
        </xdr:cNvSpPr>
      </xdr:nvSpPr>
      <xdr:spPr>
        <a:xfrm flipV="1">
          <a:off x="2647950" y="14049375"/>
          <a:ext cx="5048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73</xdr:row>
      <xdr:rowOff>28575</xdr:rowOff>
    </xdr:from>
    <xdr:to>
      <xdr:col>5</xdr:col>
      <xdr:colOff>133350</xdr:colOff>
      <xdr:row>75</xdr:row>
      <xdr:rowOff>47625</xdr:rowOff>
    </xdr:to>
    <xdr:sp>
      <xdr:nvSpPr>
        <xdr:cNvPr id="18" name="Line 34"/>
        <xdr:cNvSpPr>
          <a:spLocks/>
        </xdr:cNvSpPr>
      </xdr:nvSpPr>
      <xdr:spPr>
        <a:xfrm>
          <a:off x="2514600" y="12992100"/>
          <a:ext cx="6667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76</xdr:row>
      <xdr:rowOff>57150</xdr:rowOff>
    </xdr:from>
    <xdr:to>
      <xdr:col>7</xdr:col>
      <xdr:colOff>552450</xdr:colOff>
      <xdr:row>77</xdr:row>
      <xdr:rowOff>57150</xdr:rowOff>
    </xdr:to>
    <xdr:sp>
      <xdr:nvSpPr>
        <xdr:cNvPr id="19" name="Line 35"/>
        <xdr:cNvSpPr>
          <a:spLocks/>
        </xdr:cNvSpPr>
      </xdr:nvSpPr>
      <xdr:spPr>
        <a:xfrm flipH="1">
          <a:off x="4362450" y="13506450"/>
          <a:ext cx="457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180975</xdr:colOff>
      <xdr:row>104</xdr:row>
      <xdr:rowOff>66675</xdr:rowOff>
    </xdr:from>
    <xdr:to>
      <xdr:col>7</xdr:col>
      <xdr:colOff>247650</xdr:colOff>
      <xdr:row>106</xdr:row>
      <xdr:rowOff>114300</xdr:rowOff>
    </xdr:to>
    <xdr:pic>
      <xdr:nvPicPr>
        <xdr:cNvPr id="20" name="Picture 37"/>
        <xdr:cNvPicPr preferRelativeResize="1">
          <a:picLocks noChangeAspect="1"/>
        </xdr:cNvPicPr>
      </xdr:nvPicPr>
      <xdr:blipFill>
        <a:blip r:embed="rId7"/>
        <a:stretch>
          <a:fillRect/>
        </a:stretch>
      </xdr:blipFill>
      <xdr:spPr>
        <a:xfrm>
          <a:off x="3228975" y="18049875"/>
          <a:ext cx="1285875" cy="400050"/>
        </a:xfrm>
        <a:prstGeom prst="rect">
          <a:avLst/>
        </a:prstGeom>
        <a:noFill/>
        <a:ln w="9525" cmpd="sng">
          <a:noFill/>
        </a:ln>
      </xdr:spPr>
    </xdr:pic>
    <xdr:clientData/>
  </xdr:twoCellAnchor>
  <xdr:twoCellAnchor editAs="oneCell">
    <xdr:from>
      <xdr:col>2</xdr:col>
      <xdr:colOff>285750</xdr:colOff>
      <xdr:row>116</xdr:row>
      <xdr:rowOff>142875</xdr:rowOff>
    </xdr:from>
    <xdr:to>
      <xdr:col>6</xdr:col>
      <xdr:colOff>590550</xdr:colOff>
      <xdr:row>138</xdr:row>
      <xdr:rowOff>142875</xdr:rowOff>
    </xdr:to>
    <xdr:pic>
      <xdr:nvPicPr>
        <xdr:cNvPr id="21" name="Picture 38"/>
        <xdr:cNvPicPr preferRelativeResize="1">
          <a:picLocks noChangeAspect="1"/>
        </xdr:cNvPicPr>
      </xdr:nvPicPr>
      <xdr:blipFill>
        <a:blip r:embed="rId8"/>
        <a:stretch>
          <a:fillRect/>
        </a:stretch>
      </xdr:blipFill>
      <xdr:spPr>
        <a:xfrm>
          <a:off x="1504950" y="20097750"/>
          <a:ext cx="2743200" cy="3562350"/>
        </a:xfrm>
        <a:prstGeom prst="rect">
          <a:avLst/>
        </a:prstGeom>
        <a:noFill/>
        <a:ln w="1" cmpd="sng">
          <a:noFill/>
        </a:ln>
      </xdr:spPr>
    </xdr:pic>
    <xdr:clientData/>
  </xdr:twoCellAnchor>
  <xdr:twoCellAnchor>
    <xdr:from>
      <xdr:col>6</xdr:col>
      <xdr:colOff>57150</xdr:colOff>
      <xdr:row>111</xdr:row>
      <xdr:rowOff>57150</xdr:rowOff>
    </xdr:from>
    <xdr:to>
      <xdr:col>8</xdr:col>
      <xdr:colOff>533400</xdr:colOff>
      <xdr:row>113</xdr:row>
      <xdr:rowOff>133350</xdr:rowOff>
    </xdr:to>
    <xdr:sp>
      <xdr:nvSpPr>
        <xdr:cNvPr id="22" name="TextBox 39"/>
        <xdr:cNvSpPr txBox="1">
          <a:spLocks noChangeArrowheads="1"/>
        </xdr:cNvSpPr>
      </xdr:nvSpPr>
      <xdr:spPr>
        <a:xfrm>
          <a:off x="3714750" y="19202400"/>
          <a:ext cx="1695450" cy="4000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comes from the "Prices &amp; Rates" worksheet.</a:t>
          </a:r>
        </a:p>
      </xdr:txBody>
    </xdr:sp>
    <xdr:clientData/>
  </xdr:twoCellAnchor>
  <xdr:twoCellAnchor>
    <xdr:from>
      <xdr:col>1</xdr:col>
      <xdr:colOff>428625</xdr:colOff>
      <xdr:row>112</xdr:row>
      <xdr:rowOff>57150</xdr:rowOff>
    </xdr:from>
    <xdr:to>
      <xdr:col>4</xdr:col>
      <xdr:colOff>352425</xdr:colOff>
      <xdr:row>116</xdr:row>
      <xdr:rowOff>0</xdr:rowOff>
    </xdr:to>
    <xdr:sp>
      <xdr:nvSpPr>
        <xdr:cNvPr id="23" name="TextBox 40"/>
        <xdr:cNvSpPr txBox="1">
          <a:spLocks noChangeArrowheads="1"/>
        </xdr:cNvSpPr>
      </xdr:nvSpPr>
      <xdr:spPr>
        <a:xfrm>
          <a:off x="1038225" y="19364325"/>
          <a:ext cx="1752600" cy="5905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can be changed for just this cost calculation by changing the numbers here.</a:t>
          </a:r>
        </a:p>
      </xdr:txBody>
    </xdr:sp>
    <xdr:clientData/>
  </xdr:twoCellAnchor>
  <xdr:twoCellAnchor>
    <xdr:from>
      <xdr:col>7</xdr:col>
      <xdr:colOff>476250</xdr:colOff>
      <xdr:row>126</xdr:row>
      <xdr:rowOff>47625</xdr:rowOff>
    </xdr:from>
    <xdr:to>
      <xdr:col>10</xdr:col>
      <xdr:colOff>247650</xdr:colOff>
      <xdr:row>132</xdr:row>
      <xdr:rowOff>114300</xdr:rowOff>
    </xdr:to>
    <xdr:sp>
      <xdr:nvSpPr>
        <xdr:cNvPr id="24" name="TextBox 41"/>
        <xdr:cNvSpPr txBox="1">
          <a:spLocks noChangeArrowheads="1"/>
        </xdr:cNvSpPr>
      </xdr:nvSpPr>
      <xdr:spPr>
        <a:xfrm>
          <a:off x="4743450" y="21621750"/>
          <a:ext cx="1600200" cy="10382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Clicking this button will save any changes you made in this pop-up to the "Prices &amp; Rates" data base and the original numbers will no longer be retrievable.</a:t>
          </a:r>
        </a:p>
      </xdr:txBody>
    </xdr:sp>
    <xdr:clientData/>
  </xdr:twoCellAnchor>
  <xdr:twoCellAnchor>
    <xdr:from>
      <xdr:col>7</xdr:col>
      <xdr:colOff>352425</xdr:colOff>
      <xdr:row>118</xdr:row>
      <xdr:rowOff>57150</xdr:rowOff>
    </xdr:from>
    <xdr:to>
      <xdr:col>10</xdr:col>
      <xdr:colOff>171450</xdr:colOff>
      <xdr:row>122</xdr:row>
      <xdr:rowOff>152400</xdr:rowOff>
    </xdr:to>
    <xdr:sp>
      <xdr:nvSpPr>
        <xdr:cNvPr id="25" name="TextBox 42"/>
        <xdr:cNvSpPr txBox="1">
          <a:spLocks noChangeArrowheads="1"/>
        </xdr:cNvSpPr>
      </xdr:nvSpPr>
      <xdr:spPr>
        <a:xfrm>
          <a:off x="4619625" y="20335875"/>
          <a:ext cx="1647825" cy="7429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Clicking this button will retrieve the original data from the "Prices &amp; Rates" database.</a:t>
          </a:r>
        </a:p>
      </xdr:txBody>
    </xdr:sp>
    <xdr:clientData/>
  </xdr:twoCellAnchor>
  <xdr:twoCellAnchor>
    <xdr:from>
      <xdr:col>7</xdr:col>
      <xdr:colOff>400050</xdr:colOff>
      <xdr:row>135</xdr:row>
      <xdr:rowOff>0</xdr:rowOff>
    </xdr:from>
    <xdr:to>
      <xdr:col>9</xdr:col>
      <xdr:colOff>552450</xdr:colOff>
      <xdr:row>137</xdr:row>
      <xdr:rowOff>0</xdr:rowOff>
    </xdr:to>
    <xdr:sp>
      <xdr:nvSpPr>
        <xdr:cNvPr id="26" name="TextBox 43"/>
        <xdr:cNvSpPr txBox="1">
          <a:spLocks noChangeArrowheads="1"/>
        </xdr:cNvSpPr>
      </xdr:nvSpPr>
      <xdr:spPr>
        <a:xfrm>
          <a:off x="4667250" y="23031450"/>
          <a:ext cx="1371600" cy="323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When finished, proceed to the next pop-up.</a:t>
          </a:r>
        </a:p>
      </xdr:txBody>
    </xdr:sp>
    <xdr:clientData/>
  </xdr:twoCellAnchor>
  <xdr:twoCellAnchor editAs="oneCell">
    <xdr:from>
      <xdr:col>3</xdr:col>
      <xdr:colOff>200025</xdr:colOff>
      <xdr:row>141</xdr:row>
      <xdr:rowOff>104775</xdr:rowOff>
    </xdr:from>
    <xdr:to>
      <xdr:col>8</xdr:col>
      <xdr:colOff>390525</xdr:colOff>
      <xdr:row>167</xdr:row>
      <xdr:rowOff>85725</xdr:rowOff>
    </xdr:to>
    <xdr:pic>
      <xdr:nvPicPr>
        <xdr:cNvPr id="27" name="Picture 44"/>
        <xdr:cNvPicPr preferRelativeResize="1">
          <a:picLocks noChangeAspect="1"/>
        </xdr:cNvPicPr>
      </xdr:nvPicPr>
      <xdr:blipFill>
        <a:blip r:embed="rId9"/>
        <a:stretch>
          <a:fillRect/>
        </a:stretch>
      </xdr:blipFill>
      <xdr:spPr>
        <a:xfrm>
          <a:off x="2028825" y="24107775"/>
          <a:ext cx="3238500" cy="4191000"/>
        </a:xfrm>
        <a:prstGeom prst="rect">
          <a:avLst/>
        </a:prstGeom>
        <a:noFill/>
        <a:ln w="1" cmpd="sng">
          <a:noFill/>
        </a:ln>
      </xdr:spPr>
    </xdr:pic>
    <xdr:clientData/>
  </xdr:twoCellAnchor>
  <xdr:oneCellAnchor>
    <xdr:from>
      <xdr:col>2</xdr:col>
      <xdr:colOff>123825</xdr:colOff>
      <xdr:row>154</xdr:row>
      <xdr:rowOff>0</xdr:rowOff>
    </xdr:from>
    <xdr:ext cx="76200" cy="190500"/>
    <xdr:sp>
      <xdr:nvSpPr>
        <xdr:cNvPr id="28" name="TextBox 45"/>
        <xdr:cNvSpPr txBox="1">
          <a:spLocks noChangeArrowheads="1"/>
        </xdr:cNvSpPr>
      </xdr:nvSpPr>
      <xdr:spPr>
        <a:xfrm>
          <a:off x="1343025" y="26108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142</xdr:row>
      <xdr:rowOff>57150</xdr:rowOff>
    </xdr:from>
    <xdr:to>
      <xdr:col>2</xdr:col>
      <xdr:colOff>419100</xdr:colOff>
      <xdr:row>159</xdr:row>
      <xdr:rowOff>152400</xdr:rowOff>
    </xdr:to>
    <xdr:sp>
      <xdr:nvSpPr>
        <xdr:cNvPr id="29" name="TextBox 46"/>
        <xdr:cNvSpPr txBox="1">
          <a:spLocks noChangeArrowheads="1"/>
        </xdr:cNvSpPr>
      </xdr:nvSpPr>
      <xdr:spPr>
        <a:xfrm>
          <a:off x="609600" y="24222075"/>
          <a:ext cx="1028700" cy="28479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Select a power unit or self-propelled machine here.  If you select a tractor or self propelled machine, successive screens will ask you to select one or two implements depending on what you enter here.</a:t>
          </a:r>
        </a:p>
      </xdr:txBody>
    </xdr:sp>
    <xdr:clientData/>
  </xdr:twoCellAnchor>
  <xdr:twoCellAnchor editAs="oneCell">
    <xdr:from>
      <xdr:col>1</xdr:col>
      <xdr:colOff>428625</xdr:colOff>
      <xdr:row>174</xdr:row>
      <xdr:rowOff>114300</xdr:rowOff>
    </xdr:from>
    <xdr:to>
      <xdr:col>7</xdr:col>
      <xdr:colOff>161925</xdr:colOff>
      <xdr:row>201</xdr:row>
      <xdr:rowOff>142875</xdr:rowOff>
    </xdr:to>
    <xdr:pic>
      <xdr:nvPicPr>
        <xdr:cNvPr id="30" name="Picture 47"/>
        <xdr:cNvPicPr preferRelativeResize="1">
          <a:picLocks noChangeAspect="1"/>
        </xdr:cNvPicPr>
      </xdr:nvPicPr>
      <xdr:blipFill>
        <a:blip r:embed="rId10"/>
        <a:stretch>
          <a:fillRect/>
        </a:stretch>
      </xdr:blipFill>
      <xdr:spPr>
        <a:xfrm>
          <a:off x="1038225" y="29460825"/>
          <a:ext cx="3390900" cy="4400550"/>
        </a:xfrm>
        <a:prstGeom prst="rect">
          <a:avLst/>
        </a:prstGeom>
        <a:noFill/>
        <a:ln w="1" cmpd="sng">
          <a:noFill/>
        </a:ln>
      </xdr:spPr>
    </xdr:pic>
    <xdr:clientData/>
  </xdr:twoCellAnchor>
  <xdr:twoCellAnchor>
    <xdr:from>
      <xdr:col>7</xdr:col>
      <xdr:colOff>476250</xdr:colOff>
      <xdr:row>178</xdr:row>
      <xdr:rowOff>76200</xdr:rowOff>
    </xdr:from>
    <xdr:to>
      <xdr:col>10</xdr:col>
      <xdr:colOff>285750</xdr:colOff>
      <xdr:row>199</xdr:row>
      <xdr:rowOff>123825</xdr:rowOff>
    </xdr:to>
    <xdr:sp>
      <xdr:nvSpPr>
        <xdr:cNvPr id="31" name="TextBox 48"/>
        <xdr:cNvSpPr txBox="1">
          <a:spLocks noChangeArrowheads="1"/>
        </xdr:cNvSpPr>
      </xdr:nvSpPr>
      <xdr:spPr>
        <a:xfrm>
          <a:off x="4743450" y="30070425"/>
          <a:ext cx="1638300" cy="34480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Several alternatives are available for specifying field capacity or performance:
a.  Based on width, speed and efficiency of the machinery combination,
b.  Based on the processing of a product at a particular rate, or
c.  Explicitly specified by owner
Again, these numbers can be changed for "what if" analysis, but you can't save changes made here permanently.</a:t>
          </a:r>
        </a:p>
      </xdr:txBody>
    </xdr:sp>
    <xdr:clientData/>
  </xdr:twoCellAnchor>
  <xdr:twoCellAnchor>
    <xdr:from>
      <xdr:col>7</xdr:col>
      <xdr:colOff>485775</xdr:colOff>
      <xdr:row>227</xdr:row>
      <xdr:rowOff>133350</xdr:rowOff>
    </xdr:from>
    <xdr:to>
      <xdr:col>10</xdr:col>
      <xdr:colOff>171450</xdr:colOff>
      <xdr:row>232</xdr:row>
      <xdr:rowOff>19050</xdr:rowOff>
    </xdr:to>
    <xdr:sp>
      <xdr:nvSpPr>
        <xdr:cNvPr id="32" name="TextBox 50"/>
        <xdr:cNvSpPr txBox="1">
          <a:spLocks noChangeArrowheads="1"/>
        </xdr:cNvSpPr>
      </xdr:nvSpPr>
      <xdr:spPr>
        <a:xfrm>
          <a:off x="4752975" y="38061900"/>
          <a:ext cx="1514475" cy="695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here to transfer the labor and machinery variable costs to the budget</a:t>
          </a:r>
        </a:p>
      </xdr:txBody>
    </xdr:sp>
    <xdr:clientData/>
  </xdr:twoCellAnchor>
  <xdr:twoCellAnchor>
    <xdr:from>
      <xdr:col>8</xdr:col>
      <xdr:colOff>133350</xdr:colOff>
      <xdr:row>211</xdr:row>
      <xdr:rowOff>104775</xdr:rowOff>
    </xdr:from>
    <xdr:to>
      <xdr:col>11</xdr:col>
      <xdr:colOff>9525</xdr:colOff>
      <xdr:row>226</xdr:row>
      <xdr:rowOff>142875</xdr:rowOff>
    </xdr:to>
    <xdr:sp>
      <xdr:nvSpPr>
        <xdr:cNvPr id="33" name="TextBox 51"/>
        <xdr:cNvSpPr txBox="1">
          <a:spLocks noChangeArrowheads="1"/>
        </xdr:cNvSpPr>
      </xdr:nvSpPr>
      <xdr:spPr>
        <a:xfrm>
          <a:off x="5010150" y="35442525"/>
          <a:ext cx="1704975" cy="24669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fixed costs are calculated for "advisory" purposes.  If a new machinery purchase is being considered, there should be an adjustment made in the fixed cost section of the budget.  They're also useful for comparisons with custom rates.  See the note for an explanation of how fixed costs can be calculated on a whole farm basis and then allocated to the budget.</a:t>
          </a:r>
        </a:p>
      </xdr:txBody>
    </xdr:sp>
    <xdr:clientData/>
  </xdr:twoCellAnchor>
  <xdr:twoCellAnchor>
    <xdr:from>
      <xdr:col>8</xdr:col>
      <xdr:colOff>47625</xdr:colOff>
      <xdr:row>202</xdr:row>
      <xdr:rowOff>142875</xdr:rowOff>
    </xdr:from>
    <xdr:to>
      <xdr:col>10</xdr:col>
      <xdr:colOff>238125</xdr:colOff>
      <xdr:row>210</xdr:row>
      <xdr:rowOff>28575</xdr:rowOff>
    </xdr:to>
    <xdr:sp>
      <xdr:nvSpPr>
        <xdr:cNvPr id="34" name="TextBox 52"/>
        <xdr:cNvSpPr txBox="1">
          <a:spLocks noChangeArrowheads="1"/>
        </xdr:cNvSpPr>
      </xdr:nvSpPr>
      <xdr:spPr>
        <a:xfrm>
          <a:off x="4924425" y="34023300"/>
          <a:ext cx="1409700" cy="1181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variable costs can be transferred back to the budget.  You can even override the formulas and enter your own estimates here.</a:t>
          </a:r>
        </a:p>
      </xdr:txBody>
    </xdr:sp>
    <xdr:clientData/>
  </xdr:twoCellAnchor>
  <xdr:twoCellAnchor>
    <xdr:from>
      <xdr:col>4</xdr:col>
      <xdr:colOff>47625</xdr:colOff>
      <xdr:row>116</xdr:row>
      <xdr:rowOff>28575</xdr:rowOff>
    </xdr:from>
    <xdr:to>
      <xdr:col>4</xdr:col>
      <xdr:colOff>180975</xdr:colOff>
      <xdr:row>120</xdr:row>
      <xdr:rowOff>57150</xdr:rowOff>
    </xdr:to>
    <xdr:sp>
      <xdr:nvSpPr>
        <xdr:cNvPr id="35" name="Line 53"/>
        <xdr:cNvSpPr>
          <a:spLocks/>
        </xdr:cNvSpPr>
      </xdr:nvSpPr>
      <xdr:spPr>
        <a:xfrm>
          <a:off x="2486025" y="19983450"/>
          <a:ext cx="13335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114</xdr:row>
      <xdr:rowOff>0</xdr:rowOff>
    </xdr:from>
    <xdr:to>
      <xdr:col>6</xdr:col>
      <xdr:colOff>285750</xdr:colOff>
      <xdr:row>117</xdr:row>
      <xdr:rowOff>0</xdr:rowOff>
    </xdr:to>
    <xdr:sp>
      <xdr:nvSpPr>
        <xdr:cNvPr id="36" name="Line 54"/>
        <xdr:cNvSpPr>
          <a:spLocks/>
        </xdr:cNvSpPr>
      </xdr:nvSpPr>
      <xdr:spPr>
        <a:xfrm flipV="1">
          <a:off x="3705225" y="19631025"/>
          <a:ext cx="2381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119</xdr:row>
      <xdr:rowOff>114300</xdr:rowOff>
    </xdr:from>
    <xdr:to>
      <xdr:col>7</xdr:col>
      <xdr:colOff>352425</xdr:colOff>
      <xdr:row>120</xdr:row>
      <xdr:rowOff>142875</xdr:rowOff>
    </xdr:to>
    <xdr:sp>
      <xdr:nvSpPr>
        <xdr:cNvPr id="37" name="Line 55"/>
        <xdr:cNvSpPr>
          <a:spLocks/>
        </xdr:cNvSpPr>
      </xdr:nvSpPr>
      <xdr:spPr>
        <a:xfrm flipH="1">
          <a:off x="3905250" y="20554950"/>
          <a:ext cx="7143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123</xdr:row>
      <xdr:rowOff>114300</xdr:rowOff>
    </xdr:from>
    <xdr:to>
      <xdr:col>7</xdr:col>
      <xdr:colOff>476250</xdr:colOff>
      <xdr:row>126</xdr:row>
      <xdr:rowOff>152400</xdr:rowOff>
    </xdr:to>
    <xdr:sp>
      <xdr:nvSpPr>
        <xdr:cNvPr id="38" name="Line 56"/>
        <xdr:cNvSpPr>
          <a:spLocks/>
        </xdr:cNvSpPr>
      </xdr:nvSpPr>
      <xdr:spPr>
        <a:xfrm flipH="1" flipV="1">
          <a:off x="3905250" y="21202650"/>
          <a:ext cx="8382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135</xdr:row>
      <xdr:rowOff>114300</xdr:rowOff>
    </xdr:from>
    <xdr:to>
      <xdr:col>7</xdr:col>
      <xdr:colOff>400050</xdr:colOff>
      <xdr:row>137</xdr:row>
      <xdr:rowOff>76200</xdr:rowOff>
    </xdr:to>
    <xdr:sp>
      <xdr:nvSpPr>
        <xdr:cNvPr id="39" name="Line 57"/>
        <xdr:cNvSpPr>
          <a:spLocks/>
        </xdr:cNvSpPr>
      </xdr:nvSpPr>
      <xdr:spPr>
        <a:xfrm flipH="1">
          <a:off x="2743200" y="23145750"/>
          <a:ext cx="19240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147</xdr:row>
      <xdr:rowOff>19050</xdr:rowOff>
    </xdr:from>
    <xdr:to>
      <xdr:col>3</xdr:col>
      <xdr:colOff>381000</xdr:colOff>
      <xdr:row>149</xdr:row>
      <xdr:rowOff>38100</xdr:rowOff>
    </xdr:to>
    <xdr:sp>
      <xdr:nvSpPr>
        <xdr:cNvPr id="40" name="Line 58"/>
        <xdr:cNvSpPr>
          <a:spLocks/>
        </xdr:cNvSpPr>
      </xdr:nvSpPr>
      <xdr:spPr>
        <a:xfrm>
          <a:off x="1647825" y="24993600"/>
          <a:ext cx="5619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154</xdr:row>
      <xdr:rowOff>142875</xdr:rowOff>
    </xdr:from>
    <xdr:to>
      <xdr:col>4</xdr:col>
      <xdr:colOff>304800</xdr:colOff>
      <xdr:row>162</xdr:row>
      <xdr:rowOff>85725</xdr:rowOff>
    </xdr:to>
    <xdr:sp>
      <xdr:nvSpPr>
        <xdr:cNvPr id="41" name="Line 59"/>
        <xdr:cNvSpPr>
          <a:spLocks/>
        </xdr:cNvSpPr>
      </xdr:nvSpPr>
      <xdr:spPr>
        <a:xfrm>
          <a:off x="1390650" y="26250900"/>
          <a:ext cx="13525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183</xdr:row>
      <xdr:rowOff>0</xdr:rowOff>
    </xdr:from>
    <xdr:to>
      <xdr:col>7</xdr:col>
      <xdr:colOff>457200</xdr:colOff>
      <xdr:row>184</xdr:row>
      <xdr:rowOff>19050</xdr:rowOff>
    </xdr:to>
    <xdr:sp>
      <xdr:nvSpPr>
        <xdr:cNvPr id="42" name="Line 60"/>
        <xdr:cNvSpPr>
          <a:spLocks/>
        </xdr:cNvSpPr>
      </xdr:nvSpPr>
      <xdr:spPr>
        <a:xfrm flipH="1">
          <a:off x="3324225" y="30803850"/>
          <a:ext cx="14001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187</xdr:row>
      <xdr:rowOff>104775</xdr:rowOff>
    </xdr:from>
    <xdr:to>
      <xdr:col>7</xdr:col>
      <xdr:colOff>457200</xdr:colOff>
      <xdr:row>191</xdr:row>
      <xdr:rowOff>123825</xdr:rowOff>
    </xdr:to>
    <xdr:sp>
      <xdr:nvSpPr>
        <xdr:cNvPr id="43" name="Line 61"/>
        <xdr:cNvSpPr>
          <a:spLocks/>
        </xdr:cNvSpPr>
      </xdr:nvSpPr>
      <xdr:spPr>
        <a:xfrm flipH="1">
          <a:off x="3552825" y="31556325"/>
          <a:ext cx="11715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191</xdr:row>
      <xdr:rowOff>0</xdr:rowOff>
    </xdr:from>
    <xdr:to>
      <xdr:col>7</xdr:col>
      <xdr:colOff>485775</xdr:colOff>
      <xdr:row>197</xdr:row>
      <xdr:rowOff>85725</xdr:rowOff>
    </xdr:to>
    <xdr:sp>
      <xdr:nvSpPr>
        <xdr:cNvPr id="44" name="Line 62"/>
        <xdr:cNvSpPr>
          <a:spLocks/>
        </xdr:cNvSpPr>
      </xdr:nvSpPr>
      <xdr:spPr>
        <a:xfrm flipH="1">
          <a:off x="3028950" y="32099250"/>
          <a:ext cx="1724025"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206</xdr:row>
      <xdr:rowOff>104775</xdr:rowOff>
    </xdr:from>
    <xdr:to>
      <xdr:col>8</xdr:col>
      <xdr:colOff>38100</xdr:colOff>
      <xdr:row>210</xdr:row>
      <xdr:rowOff>114300</xdr:rowOff>
    </xdr:to>
    <xdr:sp>
      <xdr:nvSpPr>
        <xdr:cNvPr id="45" name="Line 63"/>
        <xdr:cNvSpPr>
          <a:spLocks/>
        </xdr:cNvSpPr>
      </xdr:nvSpPr>
      <xdr:spPr>
        <a:xfrm flipH="1">
          <a:off x="2819400" y="34632900"/>
          <a:ext cx="209550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216</xdr:row>
      <xdr:rowOff>0</xdr:rowOff>
    </xdr:from>
    <xdr:to>
      <xdr:col>8</xdr:col>
      <xdr:colOff>133350</xdr:colOff>
      <xdr:row>219</xdr:row>
      <xdr:rowOff>9525</xdr:rowOff>
    </xdr:to>
    <xdr:sp>
      <xdr:nvSpPr>
        <xdr:cNvPr id="46" name="Line 64"/>
        <xdr:cNvSpPr>
          <a:spLocks/>
        </xdr:cNvSpPr>
      </xdr:nvSpPr>
      <xdr:spPr>
        <a:xfrm flipH="1">
          <a:off x="2838450" y="36147375"/>
          <a:ext cx="21717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229</xdr:row>
      <xdr:rowOff>104775</xdr:rowOff>
    </xdr:from>
    <xdr:to>
      <xdr:col>7</xdr:col>
      <xdr:colOff>476250</xdr:colOff>
      <xdr:row>230</xdr:row>
      <xdr:rowOff>47625</xdr:rowOff>
    </xdr:to>
    <xdr:sp>
      <xdr:nvSpPr>
        <xdr:cNvPr id="47" name="Line 65"/>
        <xdr:cNvSpPr>
          <a:spLocks/>
        </xdr:cNvSpPr>
      </xdr:nvSpPr>
      <xdr:spPr>
        <a:xfrm flipH="1">
          <a:off x="4210050" y="38357175"/>
          <a:ext cx="5334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237</xdr:row>
      <xdr:rowOff>95250</xdr:rowOff>
    </xdr:from>
    <xdr:to>
      <xdr:col>2</xdr:col>
      <xdr:colOff>552450</xdr:colOff>
      <xdr:row>244</xdr:row>
      <xdr:rowOff>0</xdr:rowOff>
    </xdr:to>
    <xdr:sp>
      <xdr:nvSpPr>
        <xdr:cNvPr id="48" name="TextBox 68"/>
        <xdr:cNvSpPr txBox="1">
          <a:spLocks noChangeArrowheads="1"/>
        </xdr:cNvSpPr>
      </xdr:nvSpPr>
      <xdr:spPr>
        <a:xfrm>
          <a:off x="161925" y="39671625"/>
          <a:ext cx="1609725" cy="10382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Machines of all types can be added to the bottom, or on any blank line, of this worksheet.  They don't have to be grouped by categories..  </a:t>
          </a:r>
        </a:p>
      </xdr:txBody>
    </xdr:sp>
    <xdr:clientData/>
  </xdr:twoCellAnchor>
  <xdr:twoCellAnchor>
    <xdr:from>
      <xdr:col>3</xdr:col>
      <xdr:colOff>76200</xdr:colOff>
      <xdr:row>237</xdr:row>
      <xdr:rowOff>114300</xdr:rowOff>
    </xdr:from>
    <xdr:to>
      <xdr:col>5</xdr:col>
      <xdr:colOff>361950</xdr:colOff>
      <xdr:row>243</xdr:row>
      <xdr:rowOff>114300</xdr:rowOff>
    </xdr:to>
    <xdr:sp>
      <xdr:nvSpPr>
        <xdr:cNvPr id="49" name="TextBox 69"/>
        <xdr:cNvSpPr txBox="1">
          <a:spLocks noChangeArrowheads="1"/>
        </xdr:cNvSpPr>
      </xdr:nvSpPr>
      <xdr:spPr>
        <a:xfrm>
          <a:off x="1905000" y="39690675"/>
          <a:ext cx="1504950" cy="9715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Tractors will have a horsepower rating but efficiency, speed and width are determined by the implements they pull.</a:t>
          </a:r>
        </a:p>
      </xdr:txBody>
    </xdr:sp>
    <xdr:clientData/>
  </xdr:twoCellAnchor>
  <xdr:twoCellAnchor>
    <xdr:from>
      <xdr:col>6</xdr:col>
      <xdr:colOff>123825</xdr:colOff>
      <xdr:row>237</xdr:row>
      <xdr:rowOff>142875</xdr:rowOff>
    </xdr:from>
    <xdr:to>
      <xdr:col>11</xdr:col>
      <xdr:colOff>142875</xdr:colOff>
      <xdr:row>244</xdr:row>
      <xdr:rowOff>85725</xdr:rowOff>
    </xdr:to>
    <xdr:sp>
      <xdr:nvSpPr>
        <xdr:cNvPr id="50" name="TextBox 71"/>
        <xdr:cNvSpPr txBox="1">
          <a:spLocks noChangeArrowheads="1"/>
        </xdr:cNvSpPr>
      </xdr:nvSpPr>
      <xdr:spPr>
        <a:xfrm>
          <a:off x="3781425" y="39719250"/>
          <a:ext cx="3067050" cy="1076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Self-propelled equipment has both a horsepower rating as well as efficiency, speed and width data, whereas towed implements have no horsepower rating.  That's how this program knows which is which.  Towed implements can only be used in combination with a tractor or self-propelled implement</a:t>
          </a:r>
        </a:p>
      </xdr:txBody>
    </xdr:sp>
    <xdr:clientData/>
  </xdr:twoCellAnchor>
  <xdr:twoCellAnchor>
    <xdr:from>
      <xdr:col>2</xdr:col>
      <xdr:colOff>400050</xdr:colOff>
      <xdr:row>239</xdr:row>
      <xdr:rowOff>9525</xdr:rowOff>
    </xdr:from>
    <xdr:to>
      <xdr:col>6</xdr:col>
      <xdr:colOff>123825</xdr:colOff>
      <xdr:row>256</xdr:row>
      <xdr:rowOff>123825</xdr:rowOff>
    </xdr:to>
    <xdr:sp>
      <xdr:nvSpPr>
        <xdr:cNvPr id="51" name="Line 72"/>
        <xdr:cNvSpPr>
          <a:spLocks/>
        </xdr:cNvSpPr>
      </xdr:nvSpPr>
      <xdr:spPr>
        <a:xfrm flipH="1">
          <a:off x="1619250" y="39909750"/>
          <a:ext cx="2162175" cy="2867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241</xdr:row>
      <xdr:rowOff>57150</xdr:rowOff>
    </xdr:from>
    <xdr:to>
      <xdr:col>6</xdr:col>
      <xdr:colOff>123825</xdr:colOff>
      <xdr:row>262</xdr:row>
      <xdr:rowOff>76200</xdr:rowOff>
    </xdr:to>
    <xdr:sp>
      <xdr:nvSpPr>
        <xdr:cNvPr id="52" name="Line 73"/>
        <xdr:cNvSpPr>
          <a:spLocks/>
        </xdr:cNvSpPr>
      </xdr:nvSpPr>
      <xdr:spPr>
        <a:xfrm flipH="1">
          <a:off x="1543050" y="40281225"/>
          <a:ext cx="2238375" cy="3419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243</xdr:row>
      <xdr:rowOff>123825</xdr:rowOff>
    </xdr:from>
    <xdr:to>
      <xdr:col>3</xdr:col>
      <xdr:colOff>342900</xdr:colOff>
      <xdr:row>251</xdr:row>
      <xdr:rowOff>0</xdr:rowOff>
    </xdr:to>
    <xdr:sp>
      <xdr:nvSpPr>
        <xdr:cNvPr id="53" name="Line 74"/>
        <xdr:cNvSpPr>
          <a:spLocks/>
        </xdr:cNvSpPr>
      </xdr:nvSpPr>
      <xdr:spPr>
        <a:xfrm flipH="1">
          <a:off x="1495425" y="40671750"/>
          <a:ext cx="676275"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244</xdr:row>
      <xdr:rowOff>9525</xdr:rowOff>
    </xdr:from>
    <xdr:to>
      <xdr:col>1</xdr:col>
      <xdr:colOff>219075</xdr:colOff>
      <xdr:row>253</xdr:row>
      <xdr:rowOff>19050</xdr:rowOff>
    </xdr:to>
    <xdr:sp>
      <xdr:nvSpPr>
        <xdr:cNvPr id="54" name="Line 75"/>
        <xdr:cNvSpPr>
          <a:spLocks/>
        </xdr:cNvSpPr>
      </xdr:nvSpPr>
      <xdr:spPr>
        <a:xfrm flipH="1" flipV="1">
          <a:off x="714375" y="40719375"/>
          <a:ext cx="114300" cy="14668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276</xdr:row>
      <xdr:rowOff>114300</xdr:rowOff>
    </xdr:from>
    <xdr:to>
      <xdr:col>1</xdr:col>
      <xdr:colOff>466725</xdr:colOff>
      <xdr:row>288</xdr:row>
      <xdr:rowOff>57150</xdr:rowOff>
    </xdr:to>
    <xdr:sp>
      <xdr:nvSpPr>
        <xdr:cNvPr id="55" name="TextBox 82"/>
        <xdr:cNvSpPr txBox="1">
          <a:spLocks noChangeArrowheads="1"/>
        </xdr:cNvSpPr>
      </xdr:nvSpPr>
      <xdr:spPr>
        <a:xfrm>
          <a:off x="104775" y="46034325"/>
          <a:ext cx="971550" cy="18859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can change the label on any of the subsections in the budget.  The changed text is automatically copied to the "Total" line for that subsection.  </a:t>
          </a:r>
        </a:p>
      </xdr:txBody>
    </xdr:sp>
    <xdr:clientData/>
  </xdr:twoCellAnchor>
  <xdr:twoCellAnchor>
    <xdr:from>
      <xdr:col>4</xdr:col>
      <xdr:colOff>552450</xdr:colOff>
      <xdr:row>60</xdr:row>
      <xdr:rowOff>47625</xdr:rowOff>
    </xdr:from>
    <xdr:to>
      <xdr:col>11</xdr:col>
      <xdr:colOff>152400</xdr:colOff>
      <xdr:row>64</xdr:row>
      <xdr:rowOff>142875</xdr:rowOff>
    </xdr:to>
    <xdr:sp>
      <xdr:nvSpPr>
        <xdr:cNvPr id="56" name="TextBox 91"/>
        <xdr:cNvSpPr txBox="1">
          <a:spLocks noChangeArrowheads="1"/>
        </xdr:cNvSpPr>
      </xdr:nvSpPr>
      <xdr:spPr>
        <a:xfrm>
          <a:off x="2990850" y="10906125"/>
          <a:ext cx="3867150" cy="7429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to add another product line.  It gets added on the line below the one where you have clicked your cursor.  You may want to differentiate products by quality grades, or perhaps there is a marketable by-product.</a:t>
          </a:r>
        </a:p>
      </xdr:txBody>
    </xdr:sp>
    <xdr:clientData/>
  </xdr:twoCellAnchor>
  <xdr:twoCellAnchor>
    <xdr:from>
      <xdr:col>5</xdr:col>
      <xdr:colOff>590550</xdr:colOff>
      <xdr:row>64</xdr:row>
      <xdr:rowOff>142875</xdr:rowOff>
    </xdr:from>
    <xdr:to>
      <xdr:col>6</xdr:col>
      <xdr:colOff>66675</xdr:colOff>
      <xdr:row>69</xdr:row>
      <xdr:rowOff>152400</xdr:rowOff>
    </xdr:to>
    <xdr:sp>
      <xdr:nvSpPr>
        <xdr:cNvPr id="57" name="Line 92"/>
        <xdr:cNvSpPr>
          <a:spLocks/>
        </xdr:cNvSpPr>
      </xdr:nvSpPr>
      <xdr:spPr>
        <a:xfrm flipH="1">
          <a:off x="3638550" y="11649075"/>
          <a:ext cx="857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65</xdr:row>
      <xdr:rowOff>104775</xdr:rowOff>
    </xdr:from>
    <xdr:to>
      <xdr:col>11</xdr:col>
      <xdr:colOff>190500</xdr:colOff>
      <xdr:row>70</xdr:row>
      <xdr:rowOff>19050</xdr:rowOff>
    </xdr:to>
    <xdr:sp>
      <xdr:nvSpPr>
        <xdr:cNvPr id="58" name="TextBox 93"/>
        <xdr:cNvSpPr txBox="1">
          <a:spLocks noChangeArrowheads="1"/>
        </xdr:cNvSpPr>
      </xdr:nvSpPr>
      <xdr:spPr>
        <a:xfrm>
          <a:off x="4933950" y="11772900"/>
          <a:ext cx="1962150" cy="7239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can delete a product line by using this button.  You will be asked to confirm before a product is actually deleted</a:t>
          </a:r>
        </a:p>
      </xdr:txBody>
    </xdr:sp>
    <xdr:clientData/>
  </xdr:twoCellAnchor>
  <xdr:twoCellAnchor>
    <xdr:from>
      <xdr:col>7</xdr:col>
      <xdr:colOff>180975</xdr:colOff>
      <xdr:row>68</xdr:row>
      <xdr:rowOff>104775</xdr:rowOff>
    </xdr:from>
    <xdr:to>
      <xdr:col>8</xdr:col>
      <xdr:colOff>57150</xdr:colOff>
      <xdr:row>73</xdr:row>
      <xdr:rowOff>9525</xdr:rowOff>
    </xdr:to>
    <xdr:sp>
      <xdr:nvSpPr>
        <xdr:cNvPr id="59" name="Line 94"/>
        <xdr:cNvSpPr>
          <a:spLocks/>
        </xdr:cNvSpPr>
      </xdr:nvSpPr>
      <xdr:spPr>
        <a:xfrm flipH="1">
          <a:off x="4448175" y="12258675"/>
          <a:ext cx="48577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88</xdr:row>
      <xdr:rowOff>133350</xdr:rowOff>
    </xdr:from>
    <xdr:to>
      <xdr:col>7</xdr:col>
      <xdr:colOff>428625</xdr:colOff>
      <xdr:row>102</xdr:row>
      <xdr:rowOff>85725</xdr:rowOff>
    </xdr:to>
    <xdr:sp>
      <xdr:nvSpPr>
        <xdr:cNvPr id="60" name="TextBox 95"/>
        <xdr:cNvSpPr txBox="1">
          <a:spLocks noChangeArrowheads="1"/>
        </xdr:cNvSpPr>
      </xdr:nvSpPr>
      <xdr:spPr>
        <a:xfrm>
          <a:off x="2819400" y="15525750"/>
          <a:ext cx="1876425" cy="2219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Guess what this button does!  That's right, it prints the main budget report.  But since some budgets get to be quite long for one page, a dialogue appears where you can specify how many pages to use in printing your budget and how many copies you want.  Using more pages allows the budget to fill up the whole page width.  You can also preview the print from this dialogue.</a:t>
          </a:r>
        </a:p>
      </xdr:txBody>
    </xdr:sp>
    <xdr:clientData/>
  </xdr:twoCellAnchor>
  <xdr:twoCellAnchor>
    <xdr:from>
      <xdr:col>6</xdr:col>
      <xdr:colOff>95250</xdr:colOff>
      <xdr:row>86</xdr:row>
      <xdr:rowOff>104775</xdr:rowOff>
    </xdr:from>
    <xdr:to>
      <xdr:col>6</xdr:col>
      <xdr:colOff>95250</xdr:colOff>
      <xdr:row>88</xdr:row>
      <xdr:rowOff>114300</xdr:rowOff>
    </xdr:to>
    <xdr:sp>
      <xdr:nvSpPr>
        <xdr:cNvPr id="61" name="Line 96"/>
        <xdr:cNvSpPr>
          <a:spLocks/>
        </xdr:cNvSpPr>
      </xdr:nvSpPr>
      <xdr:spPr>
        <a:xfrm flipV="1">
          <a:off x="3752850" y="15173325"/>
          <a:ext cx="952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279</xdr:row>
      <xdr:rowOff>19050</xdr:rowOff>
    </xdr:from>
    <xdr:to>
      <xdr:col>2</xdr:col>
      <xdr:colOff>381000</xdr:colOff>
      <xdr:row>279</xdr:row>
      <xdr:rowOff>114300</xdr:rowOff>
    </xdr:to>
    <xdr:sp>
      <xdr:nvSpPr>
        <xdr:cNvPr id="62" name="Line 79"/>
        <xdr:cNvSpPr>
          <a:spLocks/>
        </xdr:cNvSpPr>
      </xdr:nvSpPr>
      <xdr:spPr>
        <a:xfrm>
          <a:off x="1066800" y="46424850"/>
          <a:ext cx="533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282</xdr:row>
      <xdr:rowOff>76200</xdr:rowOff>
    </xdr:from>
    <xdr:to>
      <xdr:col>2</xdr:col>
      <xdr:colOff>552450</xdr:colOff>
      <xdr:row>282</xdr:row>
      <xdr:rowOff>95250</xdr:rowOff>
    </xdr:to>
    <xdr:sp>
      <xdr:nvSpPr>
        <xdr:cNvPr id="63" name="Line 80"/>
        <xdr:cNvSpPr>
          <a:spLocks/>
        </xdr:cNvSpPr>
      </xdr:nvSpPr>
      <xdr:spPr>
        <a:xfrm flipV="1">
          <a:off x="1066800" y="46967775"/>
          <a:ext cx="7048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139</xdr:row>
      <xdr:rowOff>85725</xdr:rowOff>
    </xdr:from>
    <xdr:to>
      <xdr:col>11</xdr:col>
      <xdr:colOff>238125</xdr:colOff>
      <xdr:row>161</xdr:row>
      <xdr:rowOff>19050</xdr:rowOff>
    </xdr:to>
    <xdr:sp>
      <xdr:nvSpPr>
        <xdr:cNvPr id="64" name="TextBox 100"/>
        <xdr:cNvSpPr txBox="1">
          <a:spLocks noChangeArrowheads="1"/>
        </xdr:cNvSpPr>
      </xdr:nvSpPr>
      <xdr:spPr>
        <a:xfrm>
          <a:off x="5581650" y="23764875"/>
          <a:ext cx="1362075" cy="34956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can accept the performance and economic parameters for the machine or edit them.  If you click the "save as default" button, your changes become the new default data.  If you don't, the changes only hold for the current use of the macro (you can do "what if" analysis without changing your saved data).  The "load default parameters" button retrieves the saved data from the machinery or vehicles worksheet.</a:t>
          </a:r>
        </a:p>
      </xdr:txBody>
    </xdr:sp>
    <xdr:clientData/>
  </xdr:twoCellAnchor>
  <xdr:twoCellAnchor>
    <xdr:from>
      <xdr:col>8</xdr:col>
      <xdr:colOff>133350</xdr:colOff>
      <xdr:row>142</xdr:row>
      <xdr:rowOff>57150</xdr:rowOff>
    </xdr:from>
    <xdr:to>
      <xdr:col>9</xdr:col>
      <xdr:colOff>85725</xdr:colOff>
      <xdr:row>145</xdr:row>
      <xdr:rowOff>114300</xdr:rowOff>
    </xdr:to>
    <xdr:sp>
      <xdr:nvSpPr>
        <xdr:cNvPr id="65" name="Line 101"/>
        <xdr:cNvSpPr>
          <a:spLocks/>
        </xdr:cNvSpPr>
      </xdr:nvSpPr>
      <xdr:spPr>
        <a:xfrm flipH="1">
          <a:off x="5010150" y="24222075"/>
          <a:ext cx="5619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142</xdr:row>
      <xdr:rowOff>57150</xdr:rowOff>
    </xdr:from>
    <xdr:to>
      <xdr:col>9</xdr:col>
      <xdr:colOff>85725</xdr:colOff>
      <xdr:row>152</xdr:row>
      <xdr:rowOff>47625</xdr:rowOff>
    </xdr:to>
    <xdr:sp>
      <xdr:nvSpPr>
        <xdr:cNvPr id="66" name="Line 102"/>
        <xdr:cNvSpPr>
          <a:spLocks/>
        </xdr:cNvSpPr>
      </xdr:nvSpPr>
      <xdr:spPr>
        <a:xfrm flipH="1">
          <a:off x="4972050" y="24222075"/>
          <a:ext cx="600075" cy="1609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145</xdr:row>
      <xdr:rowOff>76200</xdr:rowOff>
    </xdr:from>
    <xdr:to>
      <xdr:col>9</xdr:col>
      <xdr:colOff>95250</xdr:colOff>
      <xdr:row>158</xdr:row>
      <xdr:rowOff>114300</xdr:rowOff>
    </xdr:to>
    <xdr:sp>
      <xdr:nvSpPr>
        <xdr:cNvPr id="67" name="Line 103"/>
        <xdr:cNvSpPr>
          <a:spLocks/>
        </xdr:cNvSpPr>
      </xdr:nvSpPr>
      <xdr:spPr>
        <a:xfrm flipH="1">
          <a:off x="3305175" y="24726900"/>
          <a:ext cx="2276475"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162</xdr:row>
      <xdr:rowOff>114300</xdr:rowOff>
    </xdr:from>
    <xdr:to>
      <xdr:col>11</xdr:col>
      <xdr:colOff>419100</xdr:colOff>
      <xdr:row>173</xdr:row>
      <xdr:rowOff>142875</xdr:rowOff>
    </xdr:to>
    <xdr:sp>
      <xdr:nvSpPr>
        <xdr:cNvPr id="68" name="TextBox 104"/>
        <xdr:cNvSpPr txBox="1">
          <a:spLocks noChangeArrowheads="1"/>
        </xdr:cNvSpPr>
      </xdr:nvSpPr>
      <xdr:spPr>
        <a:xfrm>
          <a:off x="5562600" y="27517725"/>
          <a:ext cx="1562100" cy="18097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"Times to repeat" could be an integer multiple (e.g, 2 or 3) if you repeat an operation several times, or it might be a decimal fraction (e.g., 0.5) if you only apply the operation to a part of your acreage, or if you don't do the operation every year.</a:t>
          </a:r>
        </a:p>
      </xdr:txBody>
    </xdr:sp>
    <xdr:clientData/>
  </xdr:twoCellAnchor>
  <xdr:twoCellAnchor>
    <xdr:from>
      <xdr:col>8</xdr:col>
      <xdr:colOff>180975</xdr:colOff>
      <xdr:row>163</xdr:row>
      <xdr:rowOff>28575</xdr:rowOff>
    </xdr:from>
    <xdr:to>
      <xdr:col>9</xdr:col>
      <xdr:colOff>85725</xdr:colOff>
      <xdr:row>163</xdr:row>
      <xdr:rowOff>95250</xdr:rowOff>
    </xdr:to>
    <xdr:sp>
      <xdr:nvSpPr>
        <xdr:cNvPr id="69" name="Line 105"/>
        <xdr:cNvSpPr>
          <a:spLocks/>
        </xdr:cNvSpPr>
      </xdr:nvSpPr>
      <xdr:spPr>
        <a:xfrm flipH="1" flipV="1">
          <a:off x="5057775" y="27593925"/>
          <a:ext cx="51435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161925</xdr:colOff>
      <xdr:row>21</xdr:row>
      <xdr:rowOff>114300</xdr:rowOff>
    </xdr:from>
    <xdr:to>
      <xdr:col>12</xdr:col>
      <xdr:colOff>190500</xdr:colOff>
      <xdr:row>22</xdr:row>
      <xdr:rowOff>85725</xdr:rowOff>
    </xdr:to>
    <xdr:pic>
      <xdr:nvPicPr>
        <xdr:cNvPr id="70" name="Picture 107"/>
        <xdr:cNvPicPr preferRelativeResize="1">
          <a:picLocks noChangeAspect="1"/>
        </xdr:cNvPicPr>
      </xdr:nvPicPr>
      <xdr:blipFill>
        <a:blip r:embed="rId11"/>
        <a:stretch>
          <a:fillRect/>
        </a:stretch>
      </xdr:blipFill>
      <xdr:spPr>
        <a:xfrm>
          <a:off x="161925" y="4572000"/>
          <a:ext cx="7343775" cy="133350"/>
        </a:xfrm>
        <a:prstGeom prst="rect">
          <a:avLst/>
        </a:prstGeom>
        <a:noFill/>
        <a:ln w="12700" cmpd="sng">
          <a:solidFill>
            <a:srgbClr val="000000"/>
          </a:solidFill>
          <a:headEnd type="none"/>
          <a:tailEnd type="none"/>
        </a:ln>
      </xdr:spPr>
    </xdr:pic>
    <xdr:clientData/>
  </xdr:twoCellAnchor>
  <xdr:twoCellAnchor>
    <xdr:from>
      <xdr:col>6</xdr:col>
      <xdr:colOff>323850</xdr:colOff>
      <xdr:row>222</xdr:row>
      <xdr:rowOff>85725</xdr:rowOff>
    </xdr:from>
    <xdr:to>
      <xdr:col>8</xdr:col>
      <xdr:colOff>142875</xdr:colOff>
      <xdr:row>225</xdr:row>
      <xdr:rowOff>19050</xdr:rowOff>
    </xdr:to>
    <xdr:sp>
      <xdr:nvSpPr>
        <xdr:cNvPr id="71" name="Line 111"/>
        <xdr:cNvSpPr>
          <a:spLocks/>
        </xdr:cNvSpPr>
      </xdr:nvSpPr>
      <xdr:spPr>
        <a:xfrm flipH="1">
          <a:off x="3981450" y="37204650"/>
          <a:ext cx="10382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287</xdr:row>
      <xdr:rowOff>152400</xdr:rowOff>
    </xdr:from>
    <xdr:to>
      <xdr:col>11</xdr:col>
      <xdr:colOff>600075</xdr:colOff>
      <xdr:row>298</xdr:row>
      <xdr:rowOff>0</xdr:rowOff>
    </xdr:to>
    <xdr:sp>
      <xdr:nvSpPr>
        <xdr:cNvPr id="72" name="TextBox 116"/>
        <xdr:cNvSpPr txBox="1">
          <a:spLocks noChangeArrowheads="1"/>
        </xdr:cNvSpPr>
      </xdr:nvSpPr>
      <xdr:spPr>
        <a:xfrm>
          <a:off x="1428750" y="47853600"/>
          <a:ext cx="5876925" cy="16287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 can enter your estimates for machinery fixed cost </a:t>
          </a:r>
          <a:r>
            <a:rPr lang="en-US" cap="none" sz="1000" b="1" i="0" u="sng" baseline="0">
              <a:latin typeface="Arial"/>
              <a:ea typeface="Arial"/>
              <a:cs typeface="Arial"/>
            </a:rPr>
            <a:t>directly</a:t>
          </a:r>
          <a:r>
            <a:rPr lang="en-US" cap="none" sz="1000" b="0" i="0" u="none" baseline="0">
              <a:latin typeface="Arial"/>
              <a:ea typeface="Arial"/>
              <a:cs typeface="Arial"/>
            </a:rPr>
            <a:t>, using any method you choose, or you can use the </a:t>
          </a:r>
          <a:r>
            <a:rPr lang="en-US" cap="none" sz="1000" b="0" i="0" u="none" baseline="0">
              <a:latin typeface="Arial"/>
              <a:ea typeface="Arial"/>
              <a:cs typeface="Arial"/>
            </a:rPr>
            <a:t>two macro buttons</a:t>
          </a:r>
          <a:r>
            <a:rPr lang="en-US" cap="none" sz="1000" b="0" i="0" u="none" baseline="0">
              <a:latin typeface="Arial"/>
              <a:ea typeface="Arial"/>
              <a:cs typeface="Arial"/>
            </a:rPr>
            <a:t> to allocate them from the machinery tables.  If you use the </a:t>
          </a:r>
          <a:r>
            <a:rPr lang="en-US" cap="none" sz="1000" b="1" i="0" u="sng" baseline="0">
              <a:latin typeface="Arial"/>
              <a:ea typeface="Arial"/>
              <a:cs typeface="Arial"/>
            </a:rPr>
            <a:t>macro buttons</a:t>
          </a:r>
          <a:r>
            <a:rPr lang="en-US" cap="none" sz="1000" b="0" i="0" u="none" baseline="0">
              <a:latin typeface="Arial"/>
              <a:ea typeface="Arial"/>
              <a:cs typeface="Arial"/>
            </a:rPr>
            <a:t>, a live link will be inserted to the "Fixed Cost Summary" table, so that any changes made to machinery data will automatically be reflected in the fixed costs allocated to the budget.  If you change your mind, you can always remove the link by deleting the fixed cost item using the "Delete Operation" macro button.  If you use the macro buttons, please carefully review the </a:t>
          </a:r>
          <a:r>
            <a:rPr lang="en-US" cap="none" sz="1000" b="1" i="0" u="sng" baseline="0">
              <a:latin typeface="Arial"/>
              <a:ea typeface="Arial"/>
              <a:cs typeface="Arial"/>
            </a:rPr>
            <a:t>"Fixed Cost Allocation %"</a:t>
          </a:r>
          <a:r>
            <a:rPr lang="en-US" cap="none" sz="1000" b="0" i="0" u="none" baseline="0">
              <a:latin typeface="Arial"/>
              <a:ea typeface="Arial"/>
              <a:cs typeface="Arial"/>
            </a:rPr>
            <a:t> column in both the "Machinery" and "Vehicles" pages.  You may have lot's of machinery listed that isn't actually used in the budgeted enterprise.  These percentages, together with </a:t>
          </a:r>
          <a:r>
            <a:rPr lang="en-US" cap="none" sz="1000" b="1" i="0" u="sng" baseline="0">
              <a:latin typeface="Arial"/>
              <a:ea typeface="Arial"/>
              <a:cs typeface="Arial"/>
            </a:rPr>
            <a:t>"number of acres in enterprise"</a:t>
          </a:r>
          <a:r>
            <a:rPr lang="en-US" cap="none" sz="1000" b="0" i="0" u="none" baseline="0">
              <a:latin typeface="Arial"/>
              <a:ea typeface="Arial"/>
              <a:cs typeface="Arial"/>
            </a:rPr>
            <a:t> at the top of the "Budget" page, are critically important in the fixed cost allocation calculations.</a:t>
          </a:r>
        </a:p>
      </xdr:txBody>
    </xdr:sp>
    <xdr:clientData/>
  </xdr:twoCellAnchor>
  <xdr:twoCellAnchor>
    <xdr:from>
      <xdr:col>10</xdr:col>
      <xdr:colOff>590550</xdr:colOff>
      <xdr:row>282</xdr:row>
      <xdr:rowOff>142875</xdr:rowOff>
    </xdr:from>
    <xdr:to>
      <xdr:col>11</xdr:col>
      <xdr:colOff>57150</xdr:colOff>
      <xdr:row>289</xdr:row>
      <xdr:rowOff>19050</xdr:rowOff>
    </xdr:to>
    <xdr:sp>
      <xdr:nvSpPr>
        <xdr:cNvPr id="73" name="Line 117"/>
        <xdr:cNvSpPr>
          <a:spLocks/>
        </xdr:cNvSpPr>
      </xdr:nvSpPr>
      <xdr:spPr>
        <a:xfrm flipV="1">
          <a:off x="6686550" y="47034450"/>
          <a:ext cx="762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282</xdr:row>
      <xdr:rowOff>19050</xdr:rowOff>
    </xdr:from>
    <xdr:to>
      <xdr:col>8</xdr:col>
      <xdr:colOff>361950</xdr:colOff>
      <xdr:row>288</xdr:row>
      <xdr:rowOff>19050</xdr:rowOff>
    </xdr:to>
    <xdr:sp>
      <xdr:nvSpPr>
        <xdr:cNvPr id="74" name="Line 118"/>
        <xdr:cNvSpPr>
          <a:spLocks/>
        </xdr:cNvSpPr>
      </xdr:nvSpPr>
      <xdr:spPr>
        <a:xfrm flipV="1">
          <a:off x="4695825" y="46910625"/>
          <a:ext cx="5429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190500</xdr:colOff>
      <xdr:row>312</xdr:row>
      <xdr:rowOff>123825</xdr:rowOff>
    </xdr:from>
    <xdr:to>
      <xdr:col>11</xdr:col>
      <xdr:colOff>514350</xdr:colOff>
      <xdr:row>329</xdr:row>
      <xdr:rowOff>47625</xdr:rowOff>
    </xdr:to>
    <xdr:pic>
      <xdr:nvPicPr>
        <xdr:cNvPr id="75" name="Picture 121"/>
        <xdr:cNvPicPr preferRelativeResize="1">
          <a:picLocks noChangeAspect="1"/>
        </xdr:cNvPicPr>
      </xdr:nvPicPr>
      <xdr:blipFill>
        <a:blip r:embed="rId12"/>
        <a:stretch>
          <a:fillRect/>
        </a:stretch>
      </xdr:blipFill>
      <xdr:spPr>
        <a:xfrm>
          <a:off x="1409700" y="51901725"/>
          <a:ext cx="5810250" cy="2676525"/>
        </a:xfrm>
        <a:prstGeom prst="rect">
          <a:avLst/>
        </a:prstGeom>
        <a:noFill/>
        <a:ln w="12700" cmpd="sng">
          <a:solidFill>
            <a:srgbClr val="000000"/>
          </a:solidFill>
          <a:headEnd type="none"/>
          <a:tailEnd type="none"/>
        </a:ln>
      </xdr:spPr>
    </xdr:pic>
    <xdr:clientData/>
  </xdr:twoCellAnchor>
  <xdr:twoCellAnchor>
    <xdr:from>
      <xdr:col>10</xdr:col>
      <xdr:colOff>257175</xdr:colOff>
      <xdr:row>249</xdr:row>
      <xdr:rowOff>142875</xdr:rowOff>
    </xdr:from>
    <xdr:to>
      <xdr:col>11</xdr:col>
      <xdr:colOff>247650</xdr:colOff>
      <xdr:row>250</xdr:row>
      <xdr:rowOff>19050</xdr:rowOff>
    </xdr:to>
    <xdr:sp>
      <xdr:nvSpPr>
        <xdr:cNvPr id="76" name="Line 122"/>
        <xdr:cNvSpPr>
          <a:spLocks/>
        </xdr:cNvSpPr>
      </xdr:nvSpPr>
      <xdr:spPr>
        <a:xfrm flipH="1" flipV="1">
          <a:off x="6353175" y="41662350"/>
          <a:ext cx="60007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250</xdr:row>
      <xdr:rowOff>19050</xdr:rowOff>
    </xdr:from>
    <xdr:to>
      <xdr:col>12</xdr:col>
      <xdr:colOff>266700</xdr:colOff>
      <xdr:row>256</xdr:row>
      <xdr:rowOff>104775</xdr:rowOff>
    </xdr:to>
    <xdr:sp>
      <xdr:nvSpPr>
        <xdr:cNvPr id="77" name="Line 123"/>
        <xdr:cNvSpPr>
          <a:spLocks/>
        </xdr:cNvSpPr>
      </xdr:nvSpPr>
      <xdr:spPr>
        <a:xfrm>
          <a:off x="6953250" y="41700450"/>
          <a:ext cx="62865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256</xdr:row>
      <xdr:rowOff>114300</xdr:rowOff>
    </xdr:from>
    <xdr:to>
      <xdr:col>12</xdr:col>
      <xdr:colOff>266700</xdr:colOff>
      <xdr:row>293</xdr:row>
      <xdr:rowOff>28575</xdr:rowOff>
    </xdr:to>
    <xdr:sp>
      <xdr:nvSpPr>
        <xdr:cNvPr id="78" name="Line 124"/>
        <xdr:cNvSpPr>
          <a:spLocks/>
        </xdr:cNvSpPr>
      </xdr:nvSpPr>
      <xdr:spPr>
        <a:xfrm flipH="1">
          <a:off x="7562850" y="42767250"/>
          <a:ext cx="19050" cy="5934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293</xdr:row>
      <xdr:rowOff>19050</xdr:rowOff>
    </xdr:from>
    <xdr:to>
      <xdr:col>12</xdr:col>
      <xdr:colOff>238125</xdr:colOff>
      <xdr:row>293</xdr:row>
      <xdr:rowOff>85725</xdr:rowOff>
    </xdr:to>
    <xdr:sp>
      <xdr:nvSpPr>
        <xdr:cNvPr id="79" name="Line 126"/>
        <xdr:cNvSpPr>
          <a:spLocks/>
        </xdr:cNvSpPr>
      </xdr:nvSpPr>
      <xdr:spPr>
        <a:xfrm flipV="1">
          <a:off x="7105650" y="48691800"/>
          <a:ext cx="447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299</xdr:row>
      <xdr:rowOff>85725</xdr:rowOff>
    </xdr:from>
    <xdr:to>
      <xdr:col>11</xdr:col>
      <xdr:colOff>476250</xdr:colOff>
      <xdr:row>306</xdr:row>
      <xdr:rowOff>133350</xdr:rowOff>
    </xdr:to>
    <xdr:pic>
      <xdr:nvPicPr>
        <xdr:cNvPr id="80" name="Picture 127"/>
        <xdr:cNvPicPr preferRelativeResize="1">
          <a:picLocks noChangeAspect="1"/>
        </xdr:cNvPicPr>
      </xdr:nvPicPr>
      <xdr:blipFill>
        <a:blip r:embed="rId13"/>
        <a:stretch>
          <a:fillRect/>
        </a:stretch>
      </xdr:blipFill>
      <xdr:spPr>
        <a:xfrm>
          <a:off x="847725" y="49730025"/>
          <a:ext cx="6334125" cy="1181100"/>
        </a:xfrm>
        <a:prstGeom prst="rect">
          <a:avLst/>
        </a:prstGeom>
        <a:noFill/>
        <a:ln w="12700" cmpd="sng">
          <a:solidFill>
            <a:srgbClr val="000000"/>
          </a:solidFill>
          <a:headEnd type="none"/>
          <a:tailEnd type="none"/>
        </a:ln>
      </xdr:spPr>
    </xdr:pic>
    <xdr:clientData/>
  </xdr:twoCellAnchor>
  <xdr:twoCellAnchor>
    <xdr:from>
      <xdr:col>11</xdr:col>
      <xdr:colOff>57150</xdr:colOff>
      <xdr:row>295</xdr:row>
      <xdr:rowOff>142875</xdr:rowOff>
    </xdr:from>
    <xdr:to>
      <xdr:col>11</xdr:col>
      <xdr:colOff>133350</xdr:colOff>
      <xdr:row>299</xdr:row>
      <xdr:rowOff>114300</xdr:rowOff>
    </xdr:to>
    <xdr:sp>
      <xdr:nvSpPr>
        <xdr:cNvPr id="81" name="Line 128"/>
        <xdr:cNvSpPr>
          <a:spLocks/>
        </xdr:cNvSpPr>
      </xdr:nvSpPr>
      <xdr:spPr>
        <a:xfrm>
          <a:off x="6762750" y="49139475"/>
          <a:ext cx="6667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314</xdr:row>
      <xdr:rowOff>114300</xdr:rowOff>
    </xdr:from>
    <xdr:to>
      <xdr:col>1</xdr:col>
      <xdr:colOff>495300</xdr:colOff>
      <xdr:row>328</xdr:row>
      <xdr:rowOff>47625</xdr:rowOff>
    </xdr:to>
    <xdr:sp>
      <xdr:nvSpPr>
        <xdr:cNvPr id="82" name="TextBox 130"/>
        <xdr:cNvSpPr txBox="1">
          <a:spLocks noChangeArrowheads="1"/>
        </xdr:cNvSpPr>
      </xdr:nvSpPr>
      <xdr:spPr>
        <a:xfrm>
          <a:off x="180975" y="52216050"/>
          <a:ext cx="923925" cy="22002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Price and yield increments can vary between 0% and 33.33%.  If you used a larger increment than 33.33% it would result in negative prices or yields, which doesn't make much sense.</a:t>
          </a:r>
        </a:p>
      </xdr:txBody>
    </xdr:sp>
    <xdr:clientData/>
  </xdr:twoCellAnchor>
  <xdr:twoCellAnchor>
    <xdr:from>
      <xdr:col>1</xdr:col>
      <xdr:colOff>504825</xdr:colOff>
      <xdr:row>326</xdr:row>
      <xdr:rowOff>114300</xdr:rowOff>
    </xdr:from>
    <xdr:to>
      <xdr:col>4</xdr:col>
      <xdr:colOff>552450</xdr:colOff>
      <xdr:row>328</xdr:row>
      <xdr:rowOff>66675</xdr:rowOff>
    </xdr:to>
    <xdr:sp>
      <xdr:nvSpPr>
        <xdr:cNvPr id="83" name="Line 131"/>
        <xdr:cNvSpPr>
          <a:spLocks/>
        </xdr:cNvSpPr>
      </xdr:nvSpPr>
      <xdr:spPr>
        <a:xfrm>
          <a:off x="1114425" y="54159150"/>
          <a:ext cx="18764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266700</xdr:colOff>
      <xdr:row>364</xdr:row>
      <xdr:rowOff>19050</xdr:rowOff>
    </xdr:from>
    <xdr:to>
      <xdr:col>11</xdr:col>
      <xdr:colOff>76200</xdr:colOff>
      <xdr:row>373</xdr:row>
      <xdr:rowOff>28575</xdr:rowOff>
    </xdr:to>
    <xdr:pic>
      <xdr:nvPicPr>
        <xdr:cNvPr id="84" name="Picture 132"/>
        <xdr:cNvPicPr preferRelativeResize="1">
          <a:picLocks noChangeAspect="1"/>
        </xdr:cNvPicPr>
      </xdr:nvPicPr>
      <xdr:blipFill>
        <a:blip r:embed="rId14"/>
        <a:stretch>
          <a:fillRect/>
        </a:stretch>
      </xdr:blipFill>
      <xdr:spPr>
        <a:xfrm>
          <a:off x="266700" y="60398025"/>
          <a:ext cx="6515100" cy="1466850"/>
        </a:xfrm>
        <a:prstGeom prst="rect">
          <a:avLst/>
        </a:prstGeom>
        <a:noFill/>
        <a:ln w="1" cmpd="sng">
          <a:noFill/>
        </a:ln>
      </xdr:spPr>
    </xdr:pic>
    <xdr:clientData/>
  </xdr:twoCellAnchor>
  <xdr:twoCellAnchor editAs="oneCell">
    <xdr:from>
      <xdr:col>3</xdr:col>
      <xdr:colOff>95250</xdr:colOff>
      <xdr:row>331</xdr:row>
      <xdr:rowOff>142875</xdr:rowOff>
    </xdr:from>
    <xdr:to>
      <xdr:col>8</xdr:col>
      <xdr:colOff>476250</xdr:colOff>
      <xdr:row>350</xdr:row>
      <xdr:rowOff>66675</xdr:rowOff>
    </xdr:to>
    <xdr:pic>
      <xdr:nvPicPr>
        <xdr:cNvPr id="85" name="Picture 133"/>
        <xdr:cNvPicPr preferRelativeResize="1">
          <a:picLocks noChangeAspect="1"/>
        </xdr:cNvPicPr>
      </xdr:nvPicPr>
      <xdr:blipFill>
        <a:blip r:embed="rId15"/>
        <a:stretch>
          <a:fillRect/>
        </a:stretch>
      </xdr:blipFill>
      <xdr:spPr>
        <a:xfrm>
          <a:off x="1924050" y="54997350"/>
          <a:ext cx="3429000" cy="3000375"/>
        </a:xfrm>
        <a:prstGeom prst="rect">
          <a:avLst/>
        </a:prstGeom>
        <a:noFill/>
        <a:ln w="12700" cmpd="sng">
          <a:solidFill>
            <a:srgbClr val="000000"/>
          </a:solidFill>
          <a:headEnd type="none"/>
          <a:tailEnd type="none"/>
        </a:ln>
      </xdr:spPr>
    </xdr:pic>
    <xdr:clientData/>
  </xdr:twoCellAnchor>
  <xdr:twoCellAnchor>
    <xdr:from>
      <xdr:col>9</xdr:col>
      <xdr:colOff>533400</xdr:colOff>
      <xdr:row>335</xdr:row>
      <xdr:rowOff>95250</xdr:rowOff>
    </xdr:from>
    <xdr:to>
      <xdr:col>12</xdr:col>
      <xdr:colOff>95250</xdr:colOff>
      <xdr:row>340</xdr:row>
      <xdr:rowOff>47625</xdr:rowOff>
    </xdr:to>
    <xdr:sp>
      <xdr:nvSpPr>
        <xdr:cNvPr id="86" name="TextBox 134"/>
        <xdr:cNvSpPr txBox="1">
          <a:spLocks noChangeArrowheads="1"/>
        </xdr:cNvSpPr>
      </xdr:nvSpPr>
      <xdr:spPr>
        <a:xfrm>
          <a:off x="6019800" y="55597425"/>
          <a:ext cx="1390650" cy="7620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price and yield increments are determined by the table increments</a:t>
          </a:r>
        </a:p>
      </xdr:txBody>
    </xdr:sp>
    <xdr:clientData/>
  </xdr:twoCellAnchor>
  <xdr:twoCellAnchor>
    <xdr:from>
      <xdr:col>9</xdr:col>
      <xdr:colOff>114300</xdr:colOff>
      <xdr:row>330</xdr:row>
      <xdr:rowOff>38100</xdr:rowOff>
    </xdr:from>
    <xdr:to>
      <xdr:col>10</xdr:col>
      <xdr:colOff>400050</xdr:colOff>
      <xdr:row>335</xdr:row>
      <xdr:rowOff>95250</xdr:rowOff>
    </xdr:to>
    <xdr:sp>
      <xdr:nvSpPr>
        <xdr:cNvPr id="87" name="Line 135"/>
        <xdr:cNvSpPr>
          <a:spLocks/>
        </xdr:cNvSpPr>
      </xdr:nvSpPr>
      <xdr:spPr>
        <a:xfrm flipH="1" flipV="1">
          <a:off x="5600700" y="54730650"/>
          <a:ext cx="89535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328</xdr:row>
      <xdr:rowOff>133350</xdr:rowOff>
    </xdr:from>
    <xdr:to>
      <xdr:col>9</xdr:col>
      <xdr:colOff>104775</xdr:colOff>
      <xdr:row>330</xdr:row>
      <xdr:rowOff>38100</xdr:rowOff>
    </xdr:to>
    <xdr:sp>
      <xdr:nvSpPr>
        <xdr:cNvPr id="88" name="Line 136"/>
        <xdr:cNvSpPr>
          <a:spLocks/>
        </xdr:cNvSpPr>
      </xdr:nvSpPr>
      <xdr:spPr>
        <a:xfrm flipH="1" flipV="1">
          <a:off x="3467100" y="54502050"/>
          <a:ext cx="2124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339</xdr:row>
      <xdr:rowOff>19050</xdr:rowOff>
    </xdr:from>
    <xdr:to>
      <xdr:col>9</xdr:col>
      <xdr:colOff>533400</xdr:colOff>
      <xdr:row>345</xdr:row>
      <xdr:rowOff>28575</xdr:rowOff>
    </xdr:to>
    <xdr:sp>
      <xdr:nvSpPr>
        <xdr:cNvPr id="89" name="Line 137"/>
        <xdr:cNvSpPr>
          <a:spLocks/>
        </xdr:cNvSpPr>
      </xdr:nvSpPr>
      <xdr:spPr>
        <a:xfrm flipH="1">
          <a:off x="5153025" y="56168925"/>
          <a:ext cx="866775"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335</xdr:row>
      <xdr:rowOff>85725</xdr:rowOff>
    </xdr:from>
    <xdr:to>
      <xdr:col>2</xdr:col>
      <xdr:colOff>133350</xdr:colOff>
      <xdr:row>345</xdr:row>
      <xdr:rowOff>152400</xdr:rowOff>
    </xdr:to>
    <xdr:sp>
      <xdr:nvSpPr>
        <xdr:cNvPr id="90" name="TextBox 138"/>
        <xdr:cNvSpPr txBox="1">
          <a:spLocks noChangeArrowheads="1"/>
        </xdr:cNvSpPr>
      </xdr:nvSpPr>
      <xdr:spPr>
        <a:xfrm>
          <a:off x="304800" y="55587900"/>
          <a:ext cx="1047750" cy="16859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 chose to use cones to show net returns rather than traditional bars because it's easier to see whether there are positive (profits) or negative (losses).</a:t>
          </a:r>
        </a:p>
      </xdr:txBody>
    </xdr:sp>
    <xdr:clientData/>
  </xdr:twoCellAnchor>
  <xdr:twoCellAnchor>
    <xdr:from>
      <xdr:col>2</xdr:col>
      <xdr:colOff>19050</xdr:colOff>
      <xdr:row>339</xdr:row>
      <xdr:rowOff>142875</xdr:rowOff>
    </xdr:from>
    <xdr:to>
      <xdr:col>6</xdr:col>
      <xdr:colOff>314325</xdr:colOff>
      <xdr:row>343</xdr:row>
      <xdr:rowOff>9525</xdr:rowOff>
    </xdr:to>
    <xdr:sp>
      <xdr:nvSpPr>
        <xdr:cNvPr id="91" name="Line 139"/>
        <xdr:cNvSpPr>
          <a:spLocks/>
        </xdr:cNvSpPr>
      </xdr:nvSpPr>
      <xdr:spPr>
        <a:xfrm flipV="1">
          <a:off x="1238250" y="56292750"/>
          <a:ext cx="2733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344</xdr:row>
      <xdr:rowOff>133350</xdr:rowOff>
    </xdr:from>
    <xdr:to>
      <xdr:col>4</xdr:col>
      <xdr:colOff>95250</xdr:colOff>
      <xdr:row>345</xdr:row>
      <xdr:rowOff>19050</xdr:rowOff>
    </xdr:to>
    <xdr:sp>
      <xdr:nvSpPr>
        <xdr:cNvPr id="92" name="Line 141"/>
        <xdr:cNvSpPr>
          <a:spLocks/>
        </xdr:cNvSpPr>
      </xdr:nvSpPr>
      <xdr:spPr>
        <a:xfrm flipV="1">
          <a:off x="847725" y="57092850"/>
          <a:ext cx="16859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285750</xdr:colOff>
      <xdr:row>6</xdr:row>
      <xdr:rowOff>190500</xdr:rowOff>
    </xdr:from>
    <xdr:ext cx="76200" cy="200025"/>
    <xdr:sp>
      <xdr:nvSpPr>
        <xdr:cNvPr id="93" name="TextBox 142"/>
        <xdr:cNvSpPr txBox="1">
          <a:spLocks noChangeArrowheads="1"/>
        </xdr:cNvSpPr>
      </xdr:nvSpPr>
      <xdr:spPr>
        <a:xfrm>
          <a:off x="6991350" y="156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28575</xdr:colOff>
      <xdr:row>11</xdr:row>
      <xdr:rowOff>47625</xdr:rowOff>
    </xdr:from>
    <xdr:to>
      <xdr:col>12</xdr:col>
      <xdr:colOff>123825</xdr:colOff>
      <xdr:row>13</xdr:row>
      <xdr:rowOff>0</xdr:rowOff>
    </xdr:to>
    <xdr:pic>
      <xdr:nvPicPr>
        <xdr:cNvPr id="1" name="CommandButton1"/>
        <xdr:cNvPicPr preferRelativeResize="1">
          <a:picLocks noChangeAspect="1"/>
        </xdr:cNvPicPr>
      </xdr:nvPicPr>
      <xdr:blipFill>
        <a:blip r:embed="rId1"/>
        <a:stretch>
          <a:fillRect/>
        </a:stretch>
      </xdr:blipFill>
      <xdr:spPr>
        <a:xfrm>
          <a:off x="5734050" y="2000250"/>
          <a:ext cx="1238250" cy="276225"/>
        </a:xfrm>
        <a:prstGeom prst="rect">
          <a:avLst/>
        </a:prstGeom>
        <a:noFill/>
        <a:ln w="9525" cmpd="sng">
          <a:noFill/>
        </a:ln>
      </xdr:spPr>
    </xdr:pic>
    <xdr:clientData/>
  </xdr:twoCellAnchor>
  <xdr:twoCellAnchor editAs="absolute">
    <xdr:from>
      <xdr:col>9</xdr:col>
      <xdr:colOff>28575</xdr:colOff>
      <xdr:row>3</xdr:row>
      <xdr:rowOff>76200</xdr:rowOff>
    </xdr:from>
    <xdr:to>
      <xdr:col>12</xdr:col>
      <xdr:colOff>123825</xdr:colOff>
      <xdr:row>5</xdr:row>
      <xdr:rowOff>28575</xdr:rowOff>
    </xdr:to>
    <xdr:pic>
      <xdr:nvPicPr>
        <xdr:cNvPr id="2" name="CommandButton1"/>
        <xdr:cNvPicPr preferRelativeResize="1">
          <a:picLocks noChangeAspect="1"/>
        </xdr:cNvPicPr>
      </xdr:nvPicPr>
      <xdr:blipFill>
        <a:blip r:embed="rId2"/>
        <a:stretch>
          <a:fillRect/>
        </a:stretch>
      </xdr:blipFill>
      <xdr:spPr>
        <a:xfrm>
          <a:off x="5734050" y="590550"/>
          <a:ext cx="1238250" cy="276225"/>
        </a:xfrm>
        <a:prstGeom prst="rect">
          <a:avLst/>
        </a:prstGeom>
        <a:noFill/>
        <a:ln w="9525" cmpd="sng">
          <a:noFill/>
        </a:ln>
      </xdr:spPr>
    </xdr:pic>
    <xdr:clientData/>
  </xdr:twoCellAnchor>
  <xdr:twoCellAnchor editAs="absolute">
    <xdr:from>
      <xdr:col>9</xdr:col>
      <xdr:colOff>28575</xdr:colOff>
      <xdr:row>5</xdr:row>
      <xdr:rowOff>38100</xdr:rowOff>
    </xdr:from>
    <xdr:to>
      <xdr:col>12</xdr:col>
      <xdr:colOff>123825</xdr:colOff>
      <xdr:row>6</xdr:row>
      <xdr:rowOff>161925</xdr:rowOff>
    </xdr:to>
    <xdr:pic>
      <xdr:nvPicPr>
        <xdr:cNvPr id="3" name="CommandButton2"/>
        <xdr:cNvPicPr preferRelativeResize="1">
          <a:picLocks noChangeAspect="1"/>
        </xdr:cNvPicPr>
      </xdr:nvPicPr>
      <xdr:blipFill>
        <a:blip r:embed="rId3"/>
        <a:stretch>
          <a:fillRect/>
        </a:stretch>
      </xdr:blipFill>
      <xdr:spPr>
        <a:xfrm>
          <a:off x="5734050" y="876300"/>
          <a:ext cx="1238250" cy="285750"/>
        </a:xfrm>
        <a:prstGeom prst="rect">
          <a:avLst/>
        </a:prstGeom>
        <a:noFill/>
        <a:ln w="9525" cmpd="sng">
          <a:noFill/>
        </a:ln>
      </xdr:spPr>
    </xdr:pic>
    <xdr:clientData/>
  </xdr:twoCellAnchor>
  <xdr:twoCellAnchor editAs="absolute">
    <xdr:from>
      <xdr:col>9</xdr:col>
      <xdr:colOff>28575</xdr:colOff>
      <xdr:row>6</xdr:row>
      <xdr:rowOff>161925</xdr:rowOff>
    </xdr:from>
    <xdr:to>
      <xdr:col>10</xdr:col>
      <xdr:colOff>123825</xdr:colOff>
      <xdr:row>7</xdr:row>
      <xdr:rowOff>142875</xdr:rowOff>
    </xdr:to>
    <xdr:pic>
      <xdr:nvPicPr>
        <xdr:cNvPr id="4" name="CommandButton3"/>
        <xdr:cNvPicPr preferRelativeResize="1">
          <a:picLocks noChangeAspect="1"/>
        </xdr:cNvPicPr>
      </xdr:nvPicPr>
      <xdr:blipFill>
        <a:blip r:embed="rId4"/>
        <a:stretch>
          <a:fillRect/>
        </a:stretch>
      </xdr:blipFill>
      <xdr:spPr>
        <a:xfrm>
          <a:off x="5734050" y="1162050"/>
          <a:ext cx="609600" cy="285750"/>
        </a:xfrm>
        <a:prstGeom prst="rect">
          <a:avLst/>
        </a:prstGeom>
        <a:noFill/>
        <a:ln w="9525" cmpd="sng">
          <a:noFill/>
        </a:ln>
      </xdr:spPr>
    </xdr:pic>
    <xdr:clientData/>
  </xdr:twoCellAnchor>
  <xdr:twoCellAnchor editAs="absolute">
    <xdr:from>
      <xdr:col>9</xdr:col>
      <xdr:colOff>28575</xdr:colOff>
      <xdr:row>9</xdr:row>
      <xdr:rowOff>95250</xdr:rowOff>
    </xdr:from>
    <xdr:to>
      <xdr:col>12</xdr:col>
      <xdr:colOff>123825</xdr:colOff>
      <xdr:row>11</xdr:row>
      <xdr:rowOff>57150</xdr:rowOff>
    </xdr:to>
    <xdr:pic>
      <xdr:nvPicPr>
        <xdr:cNvPr id="5" name="CommandButton1"/>
        <xdr:cNvPicPr preferRelativeResize="1">
          <a:picLocks noChangeAspect="1"/>
        </xdr:cNvPicPr>
      </xdr:nvPicPr>
      <xdr:blipFill>
        <a:blip r:embed="rId5"/>
        <a:stretch>
          <a:fillRect/>
        </a:stretch>
      </xdr:blipFill>
      <xdr:spPr>
        <a:xfrm>
          <a:off x="5734050" y="1724025"/>
          <a:ext cx="1238250" cy="285750"/>
        </a:xfrm>
        <a:prstGeom prst="rect">
          <a:avLst/>
        </a:prstGeom>
        <a:noFill/>
        <a:ln w="9525" cmpd="sng">
          <a:noFill/>
        </a:ln>
      </xdr:spPr>
    </xdr:pic>
    <xdr:clientData/>
  </xdr:twoCellAnchor>
  <xdr:twoCellAnchor editAs="absolute">
    <xdr:from>
      <xdr:col>9</xdr:col>
      <xdr:colOff>28575</xdr:colOff>
      <xdr:row>7</xdr:row>
      <xdr:rowOff>142875</xdr:rowOff>
    </xdr:from>
    <xdr:to>
      <xdr:col>12</xdr:col>
      <xdr:colOff>123825</xdr:colOff>
      <xdr:row>9</xdr:row>
      <xdr:rowOff>114300</xdr:rowOff>
    </xdr:to>
    <xdr:pic>
      <xdr:nvPicPr>
        <xdr:cNvPr id="6" name="CommandButton2"/>
        <xdr:cNvPicPr preferRelativeResize="1">
          <a:picLocks noChangeAspect="1"/>
        </xdr:cNvPicPr>
      </xdr:nvPicPr>
      <xdr:blipFill>
        <a:blip r:embed="rId6"/>
        <a:stretch>
          <a:fillRect/>
        </a:stretch>
      </xdr:blipFill>
      <xdr:spPr>
        <a:xfrm>
          <a:off x="5734050" y="1447800"/>
          <a:ext cx="1238250" cy="295275"/>
        </a:xfrm>
        <a:prstGeom prst="rect">
          <a:avLst/>
        </a:prstGeom>
        <a:noFill/>
        <a:ln w="9525" cmpd="sng">
          <a:noFill/>
        </a:ln>
      </xdr:spPr>
    </xdr:pic>
    <xdr:clientData/>
  </xdr:twoCellAnchor>
  <xdr:twoCellAnchor editAs="absolute">
    <xdr:from>
      <xdr:col>10</xdr:col>
      <xdr:colOff>152400</xdr:colOff>
      <xdr:row>6</xdr:row>
      <xdr:rowOff>161925</xdr:rowOff>
    </xdr:from>
    <xdr:to>
      <xdr:col>12</xdr:col>
      <xdr:colOff>133350</xdr:colOff>
      <xdr:row>7</xdr:row>
      <xdr:rowOff>142875</xdr:rowOff>
    </xdr:to>
    <xdr:pic>
      <xdr:nvPicPr>
        <xdr:cNvPr id="7" name="CommandButton1"/>
        <xdr:cNvPicPr preferRelativeResize="1">
          <a:picLocks noChangeAspect="1"/>
        </xdr:cNvPicPr>
      </xdr:nvPicPr>
      <xdr:blipFill>
        <a:blip r:embed="rId7"/>
        <a:stretch>
          <a:fillRect/>
        </a:stretch>
      </xdr:blipFill>
      <xdr:spPr>
        <a:xfrm>
          <a:off x="6372225" y="1162050"/>
          <a:ext cx="609600" cy="285750"/>
        </a:xfrm>
        <a:prstGeom prst="rect">
          <a:avLst/>
        </a:prstGeom>
        <a:noFill/>
        <a:ln w="9525" cmpd="sng">
          <a:noFill/>
        </a:ln>
      </xdr:spPr>
    </xdr:pic>
    <xdr:clientData/>
  </xdr:twoCellAnchor>
  <xdr:twoCellAnchor editAs="absolute">
    <xdr:from>
      <xdr:col>9</xdr:col>
      <xdr:colOff>28575</xdr:colOff>
      <xdr:row>0</xdr:row>
      <xdr:rowOff>19050</xdr:rowOff>
    </xdr:from>
    <xdr:to>
      <xdr:col>12</xdr:col>
      <xdr:colOff>123825</xdr:colOff>
      <xdr:row>1</xdr:row>
      <xdr:rowOff>114300</xdr:rowOff>
    </xdr:to>
    <xdr:pic>
      <xdr:nvPicPr>
        <xdr:cNvPr id="8" name="cmdAddProduct"/>
        <xdr:cNvPicPr preferRelativeResize="1">
          <a:picLocks noChangeAspect="1"/>
        </xdr:cNvPicPr>
      </xdr:nvPicPr>
      <xdr:blipFill>
        <a:blip r:embed="rId8"/>
        <a:stretch>
          <a:fillRect/>
        </a:stretch>
      </xdr:blipFill>
      <xdr:spPr>
        <a:xfrm>
          <a:off x="5734050" y="19050"/>
          <a:ext cx="1238250" cy="285750"/>
        </a:xfrm>
        <a:prstGeom prst="rect">
          <a:avLst/>
        </a:prstGeom>
        <a:noFill/>
        <a:ln w="9525" cmpd="sng">
          <a:noFill/>
        </a:ln>
      </xdr:spPr>
    </xdr:pic>
    <xdr:clientData/>
  </xdr:twoCellAnchor>
  <xdr:twoCellAnchor editAs="absolute">
    <xdr:from>
      <xdr:col>9</xdr:col>
      <xdr:colOff>28575</xdr:colOff>
      <xdr:row>1</xdr:row>
      <xdr:rowOff>114300</xdr:rowOff>
    </xdr:from>
    <xdr:to>
      <xdr:col>12</xdr:col>
      <xdr:colOff>123825</xdr:colOff>
      <xdr:row>3</xdr:row>
      <xdr:rowOff>76200</xdr:rowOff>
    </xdr:to>
    <xdr:pic>
      <xdr:nvPicPr>
        <xdr:cNvPr id="9" name="cmdDeleteProduct"/>
        <xdr:cNvPicPr preferRelativeResize="1">
          <a:picLocks noChangeAspect="1"/>
        </xdr:cNvPicPr>
      </xdr:nvPicPr>
      <xdr:blipFill>
        <a:blip r:embed="rId9"/>
        <a:stretch>
          <a:fillRect/>
        </a:stretch>
      </xdr:blipFill>
      <xdr:spPr>
        <a:xfrm>
          <a:off x="5734050" y="304800"/>
          <a:ext cx="1238250" cy="285750"/>
        </a:xfrm>
        <a:prstGeom prst="rect">
          <a:avLst/>
        </a:prstGeom>
        <a:noFill/>
        <a:ln w="9525" cmpd="sng">
          <a:noFill/>
        </a:ln>
      </xdr:spPr>
    </xdr:pic>
    <xdr:clientData/>
  </xdr:twoCellAnchor>
  <xdr:twoCellAnchor editAs="oneCell">
    <xdr:from>
      <xdr:col>9</xdr:col>
      <xdr:colOff>28575</xdr:colOff>
      <xdr:row>39</xdr:row>
      <xdr:rowOff>152400</xdr:rowOff>
    </xdr:from>
    <xdr:to>
      <xdr:col>12</xdr:col>
      <xdr:colOff>123825</xdr:colOff>
      <xdr:row>42</xdr:row>
      <xdr:rowOff>19050</xdr:rowOff>
    </xdr:to>
    <xdr:pic>
      <xdr:nvPicPr>
        <xdr:cNvPr id="10" name="cmdAddCashFixed"/>
        <xdr:cNvPicPr preferRelativeResize="1">
          <a:picLocks noChangeAspect="1"/>
        </xdr:cNvPicPr>
      </xdr:nvPicPr>
      <xdr:blipFill>
        <a:blip r:embed="rId10"/>
        <a:stretch>
          <a:fillRect/>
        </a:stretch>
      </xdr:blipFill>
      <xdr:spPr>
        <a:xfrm>
          <a:off x="5734050" y="6638925"/>
          <a:ext cx="1238250" cy="352425"/>
        </a:xfrm>
        <a:prstGeom prst="rect">
          <a:avLst/>
        </a:prstGeom>
        <a:noFill/>
        <a:ln w="9525" cmpd="sng">
          <a:noFill/>
        </a:ln>
      </xdr:spPr>
    </xdr:pic>
    <xdr:clientData/>
  </xdr:twoCellAnchor>
  <xdr:twoCellAnchor editAs="oneCell">
    <xdr:from>
      <xdr:col>9</xdr:col>
      <xdr:colOff>28575</xdr:colOff>
      <xdr:row>42</xdr:row>
      <xdr:rowOff>19050</xdr:rowOff>
    </xdr:from>
    <xdr:to>
      <xdr:col>12</xdr:col>
      <xdr:colOff>123825</xdr:colOff>
      <xdr:row>44</xdr:row>
      <xdr:rowOff>38100</xdr:rowOff>
    </xdr:to>
    <xdr:pic>
      <xdr:nvPicPr>
        <xdr:cNvPr id="11" name="cmdAddNonCashFixed"/>
        <xdr:cNvPicPr preferRelativeResize="1">
          <a:picLocks noChangeAspect="1"/>
        </xdr:cNvPicPr>
      </xdr:nvPicPr>
      <xdr:blipFill>
        <a:blip r:embed="rId11"/>
        <a:stretch>
          <a:fillRect/>
        </a:stretch>
      </xdr:blipFill>
      <xdr:spPr>
        <a:xfrm>
          <a:off x="5734050" y="6991350"/>
          <a:ext cx="12382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N363"/>
  <sheetViews>
    <sheetView showGridLines="0" zoomScaleSheetLayoutView="50" workbookViewId="0" topLeftCell="A1">
      <selection activeCell="A7" sqref="A7"/>
    </sheetView>
  </sheetViews>
  <sheetFormatPr defaultColWidth="9.140625" defaultRowHeight="12.75"/>
  <sheetData>
    <row r="1" ht="18">
      <c r="A1" s="59" t="s">
        <v>112</v>
      </c>
    </row>
    <row r="2" spans="1:2" ht="18">
      <c r="A2" s="59"/>
      <c r="B2" s="62" t="s">
        <v>241</v>
      </c>
    </row>
    <row r="3" spans="1:2" ht="18">
      <c r="A3" s="59"/>
      <c r="B3" s="60" t="s">
        <v>146</v>
      </c>
    </row>
    <row r="4" spans="1:2" ht="18">
      <c r="A4" s="59"/>
      <c r="B4" s="60" t="s">
        <v>105</v>
      </c>
    </row>
    <row r="5" spans="1:2" ht="18">
      <c r="A5" s="59"/>
      <c r="B5" s="60" t="s">
        <v>106</v>
      </c>
    </row>
    <row r="6" ht="18">
      <c r="A6" s="59"/>
    </row>
    <row r="7" ht="18">
      <c r="A7" s="59"/>
    </row>
    <row r="8" ht="18">
      <c r="A8" s="59"/>
    </row>
    <row r="9" ht="18">
      <c r="A9" s="59"/>
    </row>
    <row r="10" ht="18">
      <c r="A10" s="59"/>
    </row>
    <row r="11" ht="18">
      <c r="A11" s="59"/>
    </row>
    <row r="12" ht="18">
      <c r="A12" s="59"/>
    </row>
    <row r="13" ht="18">
      <c r="A13" s="59"/>
    </row>
    <row r="14" ht="12.75">
      <c r="A14" s="60"/>
    </row>
    <row r="15" ht="23.25">
      <c r="A15" s="319" t="s">
        <v>103</v>
      </c>
    </row>
    <row r="16" ht="12.75">
      <c r="A16" s="60"/>
    </row>
    <row r="17" ht="15">
      <c r="A17" s="61" t="s">
        <v>104</v>
      </c>
    </row>
    <row r="18" ht="12.75">
      <c r="A18" s="60" t="s">
        <v>124</v>
      </c>
    </row>
    <row r="19" ht="12.75">
      <c r="A19" s="60" t="s">
        <v>230</v>
      </c>
    </row>
    <row r="20" ht="15">
      <c r="A20" s="61"/>
    </row>
    <row r="21" ht="12.75">
      <c r="A21" s="60" t="s">
        <v>207</v>
      </c>
    </row>
    <row r="22" ht="12.75">
      <c r="A22" s="60"/>
    </row>
    <row r="23" ht="12.75">
      <c r="A23" s="60"/>
    </row>
    <row r="24" ht="12.75">
      <c r="A24" s="60"/>
    </row>
    <row r="25" ht="12.75">
      <c r="A25" s="60" t="s">
        <v>210</v>
      </c>
    </row>
    <row r="26" ht="12.75">
      <c r="A26" s="60" t="s">
        <v>211</v>
      </c>
    </row>
    <row r="27" ht="12.75">
      <c r="A27" s="60" t="s">
        <v>212</v>
      </c>
    </row>
    <row r="28" ht="12.75">
      <c r="A28" s="60" t="s">
        <v>213</v>
      </c>
    </row>
    <row r="29" ht="12.75">
      <c r="A29" s="60" t="s">
        <v>214</v>
      </c>
    </row>
    <row r="30" ht="12.75">
      <c r="A30" s="60" t="s">
        <v>215</v>
      </c>
    </row>
    <row r="31" ht="12.75">
      <c r="A31" s="60" t="s">
        <v>216</v>
      </c>
    </row>
    <row r="32" ht="12.75">
      <c r="A32" s="60" t="s">
        <v>217</v>
      </c>
    </row>
    <row r="33" ht="12.75">
      <c r="A33" s="60" t="s">
        <v>218</v>
      </c>
    </row>
    <row r="34" ht="12.75">
      <c r="A34" s="60" t="s">
        <v>208</v>
      </c>
    </row>
    <row r="35" ht="12.75">
      <c r="A35" s="60" t="s">
        <v>219</v>
      </c>
    </row>
    <row r="36" ht="12.75">
      <c r="A36" s="60" t="s">
        <v>220</v>
      </c>
    </row>
    <row r="37" ht="12.75">
      <c r="A37" s="60" t="s">
        <v>221</v>
      </c>
    </row>
    <row r="38" ht="12.75">
      <c r="A38" s="60"/>
    </row>
    <row r="39" ht="15">
      <c r="A39" s="61" t="s">
        <v>120</v>
      </c>
    </row>
    <row r="40" ht="12.75">
      <c r="A40" t="s">
        <v>121</v>
      </c>
    </row>
    <row r="41" ht="12.75">
      <c r="A41" t="s">
        <v>122</v>
      </c>
    </row>
    <row r="42" spans="1:4" ht="12.75">
      <c r="A42" t="s">
        <v>123</v>
      </c>
      <c r="D42" s="64"/>
    </row>
    <row r="44" ht="15">
      <c r="A44" s="63" t="s">
        <v>107</v>
      </c>
    </row>
    <row r="45" ht="12.75">
      <c r="A45" t="s">
        <v>108</v>
      </c>
    </row>
    <row r="46" ht="12.75">
      <c r="A46" t="s">
        <v>109</v>
      </c>
    </row>
    <row r="58" ht="15">
      <c r="A58" s="63" t="s">
        <v>110</v>
      </c>
    </row>
    <row r="59" ht="12.75">
      <c r="A59" t="s">
        <v>144</v>
      </c>
    </row>
    <row r="60" ht="12.75">
      <c r="A60" t="s">
        <v>145</v>
      </c>
    </row>
    <row r="106" ht="15">
      <c r="A106" s="63" t="s">
        <v>111</v>
      </c>
    </row>
    <row r="108" ht="12.75">
      <c r="A108" t="s">
        <v>113</v>
      </c>
    </row>
    <row r="109" ht="12.75">
      <c r="A109" t="s">
        <v>114</v>
      </c>
    </row>
    <row r="110" ht="12.75">
      <c r="A110" t="s">
        <v>116</v>
      </c>
    </row>
    <row r="111" ht="12.75">
      <c r="A111" t="s">
        <v>115</v>
      </c>
    </row>
    <row r="235" ht="15">
      <c r="A235" s="63" t="s">
        <v>117</v>
      </c>
    </row>
    <row r="236" ht="12.75">
      <c r="A236" t="s">
        <v>118</v>
      </c>
    </row>
    <row r="237" spans="1:10" ht="12.75">
      <c r="A237" s="79" t="s">
        <v>223</v>
      </c>
      <c r="B237" s="79"/>
      <c r="C237" s="79"/>
      <c r="D237" s="79"/>
      <c r="E237" s="79"/>
      <c r="F237" s="79"/>
      <c r="G237" s="79"/>
      <c r="H237" s="79"/>
      <c r="I237" s="79"/>
      <c r="J237" s="79"/>
    </row>
    <row r="271" ht="12.75">
      <c r="A271" t="s">
        <v>231</v>
      </c>
    </row>
    <row r="273" ht="15">
      <c r="A273" s="63" t="s">
        <v>119</v>
      </c>
    </row>
    <row r="274" ht="12.75">
      <c r="A274" t="s">
        <v>224</v>
      </c>
    </row>
    <row r="275" ht="12.75">
      <c r="A275" t="s">
        <v>138</v>
      </c>
    </row>
    <row r="276" ht="12.75">
      <c r="A276" t="s">
        <v>139</v>
      </c>
    </row>
    <row r="309" ht="15">
      <c r="A309" s="63" t="s">
        <v>225</v>
      </c>
    </row>
    <row r="310" spans="1:14" ht="12.75">
      <c r="A310" t="s">
        <v>226</v>
      </c>
      <c r="N310" t="s">
        <v>229</v>
      </c>
    </row>
    <row r="311" ht="12.75">
      <c r="A311" t="s">
        <v>227</v>
      </c>
    </row>
    <row r="312" ht="12.75">
      <c r="A312" t="s">
        <v>228</v>
      </c>
    </row>
    <row r="331" ht="12.75">
      <c r="A331" t="s">
        <v>235</v>
      </c>
    </row>
    <row r="352" ht="15.75" customHeight="1">
      <c r="A352" s="63"/>
    </row>
    <row r="353" ht="15">
      <c r="A353" s="63" t="s">
        <v>143</v>
      </c>
    </row>
    <row r="354" ht="12.75">
      <c r="A354" t="s">
        <v>232</v>
      </c>
    </row>
    <row r="355" ht="13.5" customHeight="1">
      <c r="A355" s="80" t="s">
        <v>233</v>
      </c>
    </row>
    <row r="356" ht="13.5" customHeight="1">
      <c r="A356" s="80" t="s">
        <v>234</v>
      </c>
    </row>
    <row r="357" s="80" customFormat="1" ht="13.5" customHeight="1"/>
    <row r="358" s="60" customFormat="1" ht="15">
      <c r="A358" s="61" t="s">
        <v>141</v>
      </c>
    </row>
    <row r="359" s="321" customFormat="1" ht="17.25">
      <c r="A359" s="320" t="s">
        <v>237</v>
      </c>
    </row>
    <row r="360" ht="12.75">
      <c r="A360" s="80" t="s">
        <v>236</v>
      </c>
    </row>
    <row r="361" s="60" customFormat="1" ht="12.75">
      <c r="A361" s="60" t="s">
        <v>142</v>
      </c>
    </row>
    <row r="362" s="60" customFormat="1" ht="12.75">
      <c r="A362" s="60" t="s">
        <v>238</v>
      </c>
    </row>
    <row r="363" s="60" customFormat="1" ht="12.75">
      <c r="A363" s="60" t="s">
        <v>239</v>
      </c>
    </row>
    <row r="364" s="60" customFormat="1" ht="12.75"/>
    <row r="365" s="60" customFormat="1" ht="12.75"/>
    <row r="366" s="60" customFormat="1" ht="12.75"/>
    <row r="367" s="60" customFormat="1" ht="12.75"/>
    <row r="368" s="60" customFormat="1" ht="12.75"/>
    <row r="369" s="60" customFormat="1" ht="12.75"/>
    <row r="370" s="60" customFormat="1" ht="12.75"/>
    <row r="371" s="60" customFormat="1" ht="12.75"/>
    <row r="372" s="60" customFormat="1" ht="12.75"/>
  </sheetData>
  <sheetProtection sheet="1" objects="1" scenarios="1"/>
  <printOptions horizontalCentered="1" verticalCentered="1"/>
  <pageMargins left="0.75" right="0.75" top="1" bottom="1" header="0.5" footer="0.5"/>
  <pageSetup horizontalDpi="600" verticalDpi="600" orientation="portrait" scale="63" r:id="rId4"/>
  <rowBreaks count="5" manualBreakCount="5">
    <brk id="57" max="255" man="1"/>
    <brk id="103" max="255" man="1"/>
    <brk id="174" max="255" man="1"/>
    <brk id="234" max="255" man="1"/>
    <brk id="308" max="12" man="1"/>
  </rowBreaks>
  <drawing r:id="rId3"/>
  <legacy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K31"/>
  <sheetViews>
    <sheetView workbookViewId="0" topLeftCell="A1">
      <selection activeCell="B5" sqref="B5"/>
    </sheetView>
  </sheetViews>
  <sheetFormatPr defaultColWidth="9.140625" defaultRowHeight="12.75"/>
  <cols>
    <col min="1" max="1" width="30.140625" style="0" customWidth="1"/>
    <col min="2" max="3" width="10.7109375" style="173" customWidth="1"/>
    <col min="4" max="4" width="9.28125" style="173" customWidth="1"/>
    <col min="5" max="5" width="7.7109375" style="173" customWidth="1"/>
    <col min="6" max="6" width="11.7109375" style="173" customWidth="1"/>
    <col min="7" max="7" width="9.421875" style="173" customWidth="1"/>
    <col min="8" max="8" width="11.421875" style="173" customWidth="1"/>
    <col min="9" max="9" width="10.57421875" style="176" customWidth="1"/>
    <col min="10" max="10" width="10.7109375" style="174" customWidth="1"/>
    <col min="11" max="11" width="10.28125" style="174" customWidth="1"/>
  </cols>
  <sheetData>
    <row r="1" spans="1:11" ht="26.25">
      <c r="A1" s="121" t="s">
        <v>176</v>
      </c>
      <c r="B1" s="136"/>
      <c r="C1" s="141"/>
      <c r="D1" s="136"/>
      <c r="E1" s="136"/>
      <c r="F1" s="146"/>
      <c r="G1" s="136"/>
      <c r="H1" s="146"/>
      <c r="I1" s="176" t="s">
        <v>177</v>
      </c>
      <c r="J1" s="123"/>
      <c r="K1" s="123"/>
    </row>
    <row r="2" spans="1:11" ht="64.5" thickBot="1">
      <c r="A2" s="124" t="s">
        <v>178</v>
      </c>
      <c r="B2" s="137" t="s">
        <v>179</v>
      </c>
      <c r="C2" s="142" t="s">
        <v>180</v>
      </c>
      <c r="D2" s="137" t="s">
        <v>181</v>
      </c>
      <c r="E2" s="137" t="s">
        <v>182</v>
      </c>
      <c r="F2" s="147" t="s">
        <v>188</v>
      </c>
      <c r="G2" s="137" t="s">
        <v>240</v>
      </c>
      <c r="H2" s="147" t="s">
        <v>183</v>
      </c>
      <c r="I2" s="127" t="s">
        <v>187</v>
      </c>
      <c r="J2" s="126" t="s">
        <v>189</v>
      </c>
      <c r="K2" s="126" t="s">
        <v>190</v>
      </c>
    </row>
    <row r="3" spans="1:11" ht="20.25">
      <c r="A3" s="128" t="s">
        <v>195</v>
      </c>
      <c r="B3" s="138"/>
      <c r="C3" s="138"/>
      <c r="D3" s="143"/>
      <c r="E3" s="143"/>
      <c r="F3" s="138"/>
      <c r="G3" s="138"/>
      <c r="H3" s="138"/>
      <c r="I3" s="177"/>
      <c r="J3" s="175">
        <f>'Fixed Costs'!J3</f>
        <v>9.0922</v>
      </c>
      <c r="K3" s="175">
        <f>'Fixed Costs'!K3</f>
        <v>202.80482989206882</v>
      </c>
    </row>
    <row r="4" spans="1:11" ht="12.75">
      <c r="A4" s="130" t="str">
        <f>'Fixed Costs'!A4</f>
        <v>TRACTORS</v>
      </c>
      <c r="B4" s="139"/>
      <c r="C4" s="144"/>
      <c r="D4" s="139"/>
      <c r="E4" s="139"/>
      <c r="F4" s="139"/>
      <c r="G4" s="139"/>
      <c r="H4" s="139"/>
      <c r="I4" s="178"/>
      <c r="J4" s="132"/>
      <c r="K4" s="123"/>
    </row>
    <row r="5" spans="1:11" ht="12.75">
      <c r="A5" s="130" t="str">
        <f>'Fixed Costs'!A5</f>
        <v>60 hp tractor</v>
      </c>
      <c r="B5" s="139">
        <f>'Fixed Costs'!B5</f>
        <v>30750</v>
      </c>
      <c r="C5" s="144">
        <f>'Fixed Costs'!C5</f>
        <v>6150</v>
      </c>
      <c r="D5" s="139">
        <f>'Fixed Costs'!D5</f>
        <v>10000</v>
      </c>
      <c r="E5" s="139">
        <f>'Fixed Costs'!E5</f>
        <v>300</v>
      </c>
      <c r="F5" s="139">
        <f>'Fixed Costs'!F5</f>
        <v>3504.5067694046256</v>
      </c>
      <c r="G5" s="139">
        <f>'Fixed Costs'!G5</f>
        <v>184.5</v>
      </c>
      <c r="H5" s="139">
        <f>'Fixed Costs'!H5</f>
        <v>3689.0067694046256</v>
      </c>
      <c r="I5" s="178">
        <f>'Fixed Costs'!I5</f>
        <v>100</v>
      </c>
      <c r="J5" s="132">
        <f>'Fixed Costs'!J5</f>
        <v>1.845</v>
      </c>
      <c r="K5" s="123">
        <f>'Fixed Costs'!K5</f>
        <v>35.04506769404625</v>
      </c>
    </row>
    <row r="6" spans="1:11" ht="12.75">
      <c r="A6" s="130" t="str">
        <f>'Fixed Costs'!A6</f>
        <v>70 hp tractor</v>
      </c>
      <c r="B6" s="139">
        <f>'Fixed Costs'!B6</f>
        <v>40500</v>
      </c>
      <c r="C6" s="144">
        <f>'Fixed Costs'!C6</f>
        <v>8100</v>
      </c>
      <c r="D6" s="139">
        <f>'Fixed Costs'!D6</f>
        <v>10000</v>
      </c>
      <c r="E6" s="139">
        <f>'Fixed Costs'!E6</f>
        <v>200</v>
      </c>
      <c r="F6" s="139">
        <f>'Fixed Costs'!F6</f>
        <v>4615.691842630483</v>
      </c>
      <c r="G6" s="139">
        <f>'Fixed Costs'!G6</f>
        <v>243</v>
      </c>
      <c r="H6" s="139">
        <f>'Fixed Costs'!H6</f>
        <v>4858.691842630483</v>
      </c>
      <c r="I6" s="178">
        <f>'Fixed Costs'!I6</f>
        <v>0</v>
      </c>
      <c r="J6" s="132">
        <f>'Fixed Costs'!J6</f>
        <v>0</v>
      </c>
      <c r="K6" s="123">
        <f>'Fixed Costs'!K6</f>
        <v>0</v>
      </c>
    </row>
    <row r="7" spans="1:11" ht="12.75">
      <c r="A7" s="130" t="str">
        <f>'Fixed Costs'!A7</f>
        <v>150 hp tractor</v>
      </c>
      <c r="B7" s="139">
        <f>'Fixed Costs'!B7</f>
        <v>105000</v>
      </c>
      <c r="C7" s="144">
        <f>'Fixed Costs'!C7</f>
        <v>21000</v>
      </c>
      <c r="D7" s="139">
        <f>'Fixed Costs'!D7</f>
        <v>10000</v>
      </c>
      <c r="E7" s="139">
        <f>'Fixed Costs'!E7</f>
        <v>400</v>
      </c>
      <c r="F7" s="139">
        <f>'Fixed Costs'!F7</f>
        <v>11966.608480893845</v>
      </c>
      <c r="G7" s="139">
        <f>'Fixed Costs'!G7</f>
        <v>630</v>
      </c>
      <c r="H7" s="139">
        <f>'Fixed Costs'!H7</f>
        <v>12596.608480893845</v>
      </c>
      <c r="I7" s="178">
        <f>'Fixed Costs'!I7</f>
        <v>20</v>
      </c>
      <c r="J7" s="132">
        <f>'Fixed Costs'!J7</f>
        <v>1.26</v>
      </c>
      <c r="K7" s="123">
        <f>'Fixed Costs'!K7</f>
        <v>23.93321696178769</v>
      </c>
    </row>
    <row r="8" spans="1:11" ht="12.75">
      <c r="A8" s="130" t="str">
        <f>'Fixed Costs'!A8</f>
        <v>160 hp tractor</v>
      </c>
      <c r="B8" s="139">
        <f>'Fixed Costs'!B8</f>
        <v>110000</v>
      </c>
      <c r="C8" s="144">
        <f>'Fixed Costs'!C8</f>
        <v>22000</v>
      </c>
      <c r="D8" s="139">
        <f>'Fixed Costs'!D8</f>
        <v>10000</v>
      </c>
      <c r="E8" s="139">
        <f>'Fixed Costs'!E8</f>
        <v>200</v>
      </c>
      <c r="F8" s="139">
        <f>'Fixed Costs'!F8</f>
        <v>12536.446979984026</v>
      </c>
      <c r="G8" s="139">
        <f>'Fixed Costs'!G8</f>
        <v>660</v>
      </c>
      <c r="H8" s="139">
        <f>'Fixed Costs'!H8</f>
        <v>13196.446979984026</v>
      </c>
      <c r="I8" s="178">
        <f>'Fixed Costs'!I8</f>
        <v>20</v>
      </c>
      <c r="J8" s="132">
        <f>'Fixed Costs'!J8</f>
        <v>1.32</v>
      </c>
      <c r="K8" s="123">
        <f>'Fixed Costs'!K8</f>
        <v>25.072893959968056</v>
      </c>
    </row>
    <row r="9" spans="1:11" ht="12.75">
      <c r="A9" s="130" t="str">
        <f>'Fixed Costs'!A12</f>
        <v>HARVEST EQUIPMENT</v>
      </c>
      <c r="B9" s="139"/>
      <c r="C9" s="144"/>
      <c r="D9" s="139"/>
      <c r="E9" s="139"/>
      <c r="F9" s="139"/>
      <c r="G9" s="139"/>
      <c r="H9" s="139"/>
      <c r="I9" s="178"/>
      <c r="J9" s="132"/>
      <c r="K9" s="123"/>
    </row>
    <row r="10" spans="1:11" ht="12.75">
      <c r="A10" s="130" t="str">
        <f>'Fixed Costs'!A17</f>
        <v>Combine</v>
      </c>
      <c r="B10" s="139">
        <f>'Fixed Costs'!B17</f>
        <v>140000</v>
      </c>
      <c r="C10" s="144">
        <f>'Fixed Costs'!C17</f>
        <v>28000</v>
      </c>
      <c r="D10" s="139">
        <f>'Fixed Costs'!D17</f>
        <v>2000</v>
      </c>
      <c r="E10" s="139">
        <f>'Fixed Costs'!E17</f>
        <v>200</v>
      </c>
      <c r="F10" s="139">
        <f>'Fixed Costs'!F17</f>
        <v>21027.48422684129</v>
      </c>
      <c r="G10" s="139">
        <f>'Fixed Costs'!G17</f>
        <v>840</v>
      </c>
      <c r="H10" s="139">
        <f>'Fixed Costs'!H17</f>
        <v>21867.48422684129</v>
      </c>
      <c r="I10" s="178">
        <f>'Fixed Costs'!I17</f>
        <v>20</v>
      </c>
      <c r="J10" s="132">
        <f>'Fixed Costs'!J17</f>
        <v>1.68</v>
      </c>
      <c r="K10" s="123">
        <f>'Fixed Costs'!K17</f>
        <v>42.054968453682584</v>
      </c>
    </row>
    <row r="11" spans="1:11" ht="12.75">
      <c r="A11" s="130" t="str">
        <f>'Fixed Costs'!A25</f>
        <v>TILLAGE EQUIPMENT</v>
      </c>
      <c r="B11" s="139"/>
      <c r="C11" s="144"/>
      <c r="D11" s="139"/>
      <c r="E11" s="139"/>
      <c r="F11" s="139"/>
      <c r="G11" s="139"/>
      <c r="H11" s="139"/>
      <c r="I11" s="178"/>
      <c r="J11" s="132"/>
      <c r="K11" s="123"/>
    </row>
    <row r="12" spans="1:11" ht="12.75">
      <c r="A12" s="130" t="str">
        <f>'Fixed Costs'!A26</f>
        <v>Disk</v>
      </c>
      <c r="B12" s="139">
        <f>'Fixed Costs'!B26</f>
        <v>29500</v>
      </c>
      <c r="C12" s="144">
        <f>'Fixed Costs'!C26</f>
        <v>5900</v>
      </c>
      <c r="D12" s="139">
        <f>'Fixed Costs'!D26</f>
        <v>2000</v>
      </c>
      <c r="E12" s="139">
        <f>'Fixed Costs'!E26</f>
        <v>65</v>
      </c>
      <c r="F12" s="139">
        <f>'Fixed Costs'!F26</f>
        <v>3362.04714463208</v>
      </c>
      <c r="G12" s="139">
        <f>'Fixed Costs'!G26</f>
        <v>177</v>
      </c>
      <c r="H12" s="139">
        <f>'Fixed Costs'!H26</f>
        <v>3539.04714463208</v>
      </c>
      <c r="I12" s="178">
        <f>'Fixed Costs'!I26</f>
        <v>20</v>
      </c>
      <c r="J12" s="132">
        <f>'Fixed Costs'!J26</f>
        <v>0.354</v>
      </c>
      <c r="K12" s="123">
        <f>'Fixed Costs'!K26</f>
        <v>6.72409428926416</v>
      </c>
    </row>
    <row r="13" spans="1:11" ht="12.75">
      <c r="A13" s="130" t="str">
        <f>'Fixed Costs'!A27</f>
        <v>Field cultivator</v>
      </c>
      <c r="B13" s="139">
        <f>'Fixed Costs'!B27</f>
        <v>9600</v>
      </c>
      <c r="C13" s="144">
        <f>'Fixed Costs'!C27</f>
        <v>1920</v>
      </c>
      <c r="D13" s="139">
        <f>'Fixed Costs'!D27</f>
        <v>2000</v>
      </c>
      <c r="E13" s="139">
        <f>'Fixed Costs'!E27</f>
        <v>85</v>
      </c>
      <c r="F13" s="139">
        <f>'Fixed Costs'!F27</f>
        <v>1094.0899182531516</v>
      </c>
      <c r="G13" s="139">
        <f>'Fixed Costs'!G27</f>
        <v>57.6</v>
      </c>
      <c r="H13" s="139">
        <f>'Fixed Costs'!H27</f>
        <v>1151.6899182531515</v>
      </c>
      <c r="I13" s="178">
        <f>'Fixed Costs'!I27</f>
        <v>20</v>
      </c>
      <c r="J13" s="132">
        <f>'Fixed Costs'!J27</f>
        <v>0.11520000000000001</v>
      </c>
      <c r="K13" s="123">
        <f>'Fixed Costs'!K27</f>
        <v>2.188179836506303</v>
      </c>
    </row>
    <row r="14" spans="1:11" ht="12.75">
      <c r="A14" s="130" t="str">
        <f>'Fixed Costs'!A28</f>
        <v>Harrow, spring tooth</v>
      </c>
      <c r="B14" s="139">
        <f>'Fixed Costs'!B28</f>
        <v>6900</v>
      </c>
      <c r="C14" s="144">
        <f>'Fixed Costs'!C28</f>
        <v>1380</v>
      </c>
      <c r="D14" s="139">
        <f>'Fixed Costs'!D28</f>
        <v>2000</v>
      </c>
      <c r="E14" s="139">
        <f>'Fixed Costs'!E28</f>
        <v>50</v>
      </c>
      <c r="F14" s="139">
        <f>'Fixed Costs'!F28</f>
        <v>786.3771287444526</v>
      </c>
      <c r="G14" s="139">
        <f>'Fixed Costs'!G28</f>
        <v>41.4</v>
      </c>
      <c r="H14" s="139">
        <f>'Fixed Costs'!H28</f>
        <v>827.7771287444526</v>
      </c>
      <c r="I14" s="178">
        <f>'Fixed Costs'!I28</f>
        <v>20</v>
      </c>
      <c r="J14" s="132">
        <f>'Fixed Costs'!J28</f>
        <v>0.0828</v>
      </c>
      <c r="K14" s="123">
        <f>'Fixed Costs'!K28</f>
        <v>1.5727542574889055</v>
      </c>
    </row>
    <row r="15" spans="1:11" ht="12.75">
      <c r="A15" s="130" t="str">
        <f>'Fixed Costs'!A29</f>
        <v>Flail Chopper</v>
      </c>
      <c r="B15" s="139">
        <f>'Fixed Costs'!B29</f>
        <v>11500</v>
      </c>
      <c r="C15" s="144">
        <f>'Fixed Costs'!C29</f>
        <v>2300</v>
      </c>
      <c r="D15" s="139">
        <f>'Fixed Costs'!D29</f>
        <v>4800</v>
      </c>
      <c r="E15" s="139">
        <f>'Fixed Costs'!E29</f>
        <v>100</v>
      </c>
      <c r="F15" s="139">
        <f>'Fixed Costs'!F29</f>
        <v>1310.628547907421</v>
      </c>
      <c r="G15" s="139">
        <f>'Fixed Costs'!G29</f>
        <v>69</v>
      </c>
      <c r="H15" s="139">
        <f>'Fixed Costs'!H29</f>
        <v>1379.628547907421</v>
      </c>
      <c r="I15" s="178">
        <f>'Fixed Costs'!I29</f>
        <v>20</v>
      </c>
      <c r="J15" s="132">
        <f>'Fixed Costs'!J29</f>
        <v>0.138</v>
      </c>
      <c r="K15" s="123">
        <f>'Fixed Costs'!K29</f>
        <v>2.6212570958148422</v>
      </c>
    </row>
    <row r="16" spans="1:11" ht="12.75">
      <c r="A16" s="130" t="str">
        <f>'Fixed Costs'!A30</f>
        <v>Plow. moldboard</v>
      </c>
      <c r="B16" s="139">
        <f>'Fixed Costs'!B30</f>
        <v>10500</v>
      </c>
      <c r="C16" s="144">
        <f>'Fixed Costs'!C30</f>
        <v>2100</v>
      </c>
      <c r="D16" s="139">
        <f>'Fixed Costs'!D30</f>
        <v>2000</v>
      </c>
      <c r="E16" s="139">
        <f>'Fixed Costs'!E30</f>
        <v>250</v>
      </c>
      <c r="F16" s="139">
        <f>'Fixed Costs'!F30</f>
        <v>1784.5297476284322</v>
      </c>
      <c r="G16" s="139">
        <f>'Fixed Costs'!G30</f>
        <v>63</v>
      </c>
      <c r="H16" s="139">
        <f>'Fixed Costs'!H30</f>
        <v>1847.5297476284322</v>
      </c>
      <c r="I16" s="178">
        <f>'Fixed Costs'!I30</f>
        <v>20</v>
      </c>
      <c r="J16" s="132">
        <f>'Fixed Costs'!J30</f>
        <v>0.126</v>
      </c>
      <c r="K16" s="123">
        <f>'Fixed Costs'!K30</f>
        <v>3.5690594952568646</v>
      </c>
    </row>
    <row r="17" spans="1:11" ht="12.75">
      <c r="A17" s="130" t="str">
        <f>'Fixed Costs'!A33</f>
        <v>Row crop cultivator</v>
      </c>
      <c r="B17" s="139">
        <f>'Fixed Costs'!B33</f>
        <v>5900</v>
      </c>
      <c r="C17" s="144">
        <f>'Fixed Costs'!C33</f>
        <v>1180</v>
      </c>
      <c r="D17" s="139">
        <f>'Fixed Costs'!D33</f>
        <v>2000</v>
      </c>
      <c r="E17" s="139">
        <f>'Fixed Costs'!E33</f>
        <v>100</v>
      </c>
      <c r="F17" s="139">
        <f>'Fixed Costs'!F33</f>
        <v>672.409428926416</v>
      </c>
      <c r="G17" s="139">
        <f>'Fixed Costs'!G33</f>
        <v>35.4</v>
      </c>
      <c r="H17" s="139">
        <f>'Fixed Costs'!H33</f>
        <v>707.809428926416</v>
      </c>
      <c r="I17" s="178">
        <f>'Fixed Costs'!I33</f>
        <v>20</v>
      </c>
      <c r="J17" s="132">
        <f>'Fixed Costs'!J33</f>
        <v>0.0708</v>
      </c>
      <c r="K17" s="123">
        <f>'Fixed Costs'!K33</f>
        <v>1.344818857852832</v>
      </c>
    </row>
    <row r="18" spans="1:11" ht="12.75">
      <c r="A18" s="130" t="str">
        <f>'Fixed Costs'!A34</f>
        <v>Harrow/cultivator comb.</v>
      </c>
      <c r="B18" s="139">
        <f>'Fixed Costs'!B34</f>
        <v>22400</v>
      </c>
      <c r="C18" s="144">
        <f>'Fixed Costs'!C34</f>
        <v>4480</v>
      </c>
      <c r="D18" s="139">
        <f>'Fixed Costs'!D34</f>
        <v>2000</v>
      </c>
      <c r="E18" s="139">
        <f>'Fixed Costs'!E34</f>
        <v>85</v>
      </c>
      <c r="F18" s="139">
        <f>'Fixed Costs'!F34</f>
        <v>2552.8764759240203</v>
      </c>
      <c r="G18" s="139">
        <f>'Fixed Costs'!G34</f>
        <v>134.4</v>
      </c>
      <c r="H18" s="139">
        <f>'Fixed Costs'!H34</f>
        <v>2687.2764759240204</v>
      </c>
      <c r="I18" s="178">
        <f>'Fixed Costs'!I34</f>
        <v>20</v>
      </c>
      <c r="J18" s="132">
        <f>'Fixed Costs'!J34</f>
        <v>0.26880000000000004</v>
      </c>
      <c r="K18" s="123">
        <f>'Fixed Costs'!K34</f>
        <v>5.105752951848041</v>
      </c>
    </row>
    <row r="19" spans="1:11" ht="12.75">
      <c r="A19" s="130" t="str">
        <f>'Fixed Costs'!A35</f>
        <v>PLANTING EQUIPMENT</v>
      </c>
      <c r="B19" s="139"/>
      <c r="C19" s="144"/>
      <c r="D19" s="139"/>
      <c r="E19" s="139"/>
      <c r="F19" s="139"/>
      <c r="G19" s="139"/>
      <c r="H19" s="139"/>
      <c r="I19" s="178"/>
      <c r="J19" s="132"/>
      <c r="K19" s="123"/>
    </row>
    <row r="20" spans="1:11" ht="12.75">
      <c r="A20" s="130" t="str">
        <f>'Fixed Costs'!A36</f>
        <v>No till drill</v>
      </c>
      <c r="B20" s="139">
        <f>'Fixed Costs'!B36</f>
        <v>12500</v>
      </c>
      <c r="C20" s="144">
        <f>'Fixed Costs'!C36</f>
        <v>2500</v>
      </c>
      <c r="D20" s="139">
        <f>'Fixed Costs'!D36</f>
        <v>1200</v>
      </c>
      <c r="E20" s="139">
        <f>'Fixed Costs'!E36</f>
        <v>75</v>
      </c>
      <c r="F20" s="139">
        <f>'Fixed Costs'!F36</f>
        <v>1528.1662070326981</v>
      </c>
      <c r="G20" s="139">
        <f>'Fixed Costs'!G36</f>
        <v>75</v>
      </c>
      <c r="H20" s="139">
        <f>'Fixed Costs'!H36</f>
        <v>1603.1662070326981</v>
      </c>
      <c r="I20" s="178">
        <f>'Fixed Costs'!I36</f>
        <v>20</v>
      </c>
      <c r="J20" s="132">
        <f>'Fixed Costs'!J36</f>
        <v>0.15</v>
      </c>
      <c r="K20" s="123">
        <f>'Fixed Costs'!K36</f>
        <v>3.0563324140653965</v>
      </c>
    </row>
    <row r="21" spans="1:11" ht="12.75">
      <c r="A21" s="130" t="str">
        <f>'Fixed Costs'!A37</f>
        <v>Planter</v>
      </c>
      <c r="B21" s="139">
        <f>'Fixed Costs'!B37</f>
        <v>15000</v>
      </c>
      <c r="C21" s="144">
        <f>'Fixed Costs'!C37</f>
        <v>3000</v>
      </c>
      <c r="D21" s="139">
        <f>'Fixed Costs'!D37</f>
        <v>1200</v>
      </c>
      <c r="E21" s="139">
        <f>'Fixed Costs'!E37</f>
        <v>150</v>
      </c>
      <c r="F21" s="139">
        <f>'Fixed Costs'!F37</f>
        <v>2549.32821089776</v>
      </c>
      <c r="G21" s="139">
        <f>'Fixed Costs'!G37</f>
        <v>90</v>
      </c>
      <c r="H21" s="139">
        <f>'Fixed Costs'!H37</f>
        <v>2639.32821089776</v>
      </c>
      <c r="I21" s="178">
        <f>'Fixed Costs'!I37</f>
        <v>20</v>
      </c>
      <c r="J21" s="132">
        <f>'Fixed Costs'!J37</f>
        <v>0.18</v>
      </c>
      <c r="K21" s="123">
        <f>'Fixed Costs'!K37</f>
        <v>5.09865642179552</v>
      </c>
    </row>
    <row r="22" spans="1:11" ht="12.75">
      <c r="A22" s="130" t="str">
        <f>'Fixed Costs'!A39</f>
        <v>OTHER EQUIPMENT</v>
      </c>
      <c r="B22" s="139"/>
      <c r="C22" s="144"/>
      <c r="D22" s="139"/>
      <c r="E22" s="139"/>
      <c r="F22" s="139"/>
      <c r="G22" s="139"/>
      <c r="H22" s="139"/>
      <c r="I22" s="178"/>
      <c r="J22" s="132"/>
      <c r="K22" s="123"/>
    </row>
    <row r="23" spans="1:11" ht="12.75">
      <c r="A23" s="130" t="str">
        <f>'Fixed Costs'!A40</f>
        <v>Fertilizer spreader</v>
      </c>
      <c r="B23" s="139">
        <f>'Fixed Costs'!B40</f>
        <v>5200</v>
      </c>
      <c r="C23" s="144">
        <f>'Fixed Costs'!C40</f>
        <v>1040</v>
      </c>
      <c r="D23" s="139">
        <f>'Fixed Costs'!D40</f>
        <v>2000</v>
      </c>
      <c r="E23" s="139">
        <f>'Fixed Costs'!E40</f>
        <v>165</v>
      </c>
      <c r="F23" s="139">
        <f>'Fixed Costs'!F40</f>
        <v>711.2735051634638</v>
      </c>
      <c r="G23" s="139">
        <f>'Fixed Costs'!G40</f>
        <v>31.2</v>
      </c>
      <c r="H23" s="139">
        <f>'Fixed Costs'!H40</f>
        <v>742.4735051634639</v>
      </c>
      <c r="I23" s="178">
        <f>'Fixed Costs'!I40</f>
        <v>20</v>
      </c>
      <c r="J23" s="132">
        <f>'Fixed Costs'!J40</f>
        <v>0.062400000000000004</v>
      </c>
      <c r="K23" s="123">
        <f>'Fixed Costs'!K40</f>
        <v>1.4225470103269275</v>
      </c>
    </row>
    <row r="24" spans="1:11" ht="12.75">
      <c r="A24" s="130" t="str">
        <f>'Fixed Costs'!A43</f>
        <v>Sprayer, boom-type</v>
      </c>
      <c r="B24" s="139">
        <f>'Fixed Costs'!B43</f>
        <v>5500</v>
      </c>
      <c r="C24" s="144">
        <f>'Fixed Costs'!C43</f>
        <v>1100</v>
      </c>
      <c r="D24" s="139">
        <f>'Fixed Costs'!D43</f>
        <v>1500</v>
      </c>
      <c r="E24" s="139">
        <f>'Fixed Costs'!E43</f>
        <v>200</v>
      </c>
      <c r="F24" s="139">
        <f>'Fixed Costs'!F43</f>
        <v>971.5238762897535</v>
      </c>
      <c r="G24" s="139">
        <f>'Fixed Costs'!G43</f>
        <v>33</v>
      </c>
      <c r="H24" s="139">
        <f>'Fixed Costs'!H43</f>
        <v>1004.5238762897535</v>
      </c>
      <c r="I24" s="178">
        <f>'Fixed Costs'!I43</f>
        <v>20</v>
      </c>
      <c r="J24" s="132">
        <f>'Fixed Costs'!J43</f>
        <v>0.066</v>
      </c>
      <c r="K24" s="123">
        <f>'Fixed Costs'!K43</f>
        <v>1.9430477525795071</v>
      </c>
    </row>
    <row r="25" spans="1:11" ht="12.75">
      <c r="A25" s="130" t="str">
        <f>'Fixed Costs'!A49</f>
        <v>Roller 16 ft</v>
      </c>
      <c r="B25" s="139">
        <f>'Fixed Costs'!B49</f>
        <v>9900</v>
      </c>
      <c r="C25" s="144">
        <f>'Fixed Costs'!C49</f>
        <v>1980</v>
      </c>
      <c r="D25" s="139">
        <f>'Fixed Costs'!D49</f>
        <v>2000</v>
      </c>
      <c r="E25" s="139">
        <f>'Fixed Costs'!E49</f>
        <v>150</v>
      </c>
      <c r="F25" s="139">
        <f>'Fixed Costs'!F49</f>
        <v>1298.9271849715494</v>
      </c>
      <c r="G25" s="139">
        <f>'Fixed Costs'!G49</f>
        <v>59.4</v>
      </c>
      <c r="H25" s="139">
        <f>'Fixed Costs'!H49</f>
        <v>1358.3271849715495</v>
      </c>
      <c r="I25" s="178">
        <f>'Fixed Costs'!I49</f>
        <v>20</v>
      </c>
      <c r="J25" s="132">
        <f>'Fixed Costs'!J49</f>
        <v>0.1188</v>
      </c>
      <c r="K25" s="123">
        <f>'Fixed Costs'!K49</f>
        <v>2.597854369943099</v>
      </c>
    </row>
    <row r="26" spans="1:11" ht="12.75">
      <c r="A26" s="130" t="str">
        <f>'Fixed Costs'!A50</f>
        <v>Roller 14 ft</v>
      </c>
      <c r="B26" s="139">
        <f>'Fixed Costs'!B50</f>
        <v>8700</v>
      </c>
      <c r="C26" s="144">
        <f>'Fixed Costs'!C50</f>
        <v>1740</v>
      </c>
      <c r="D26" s="139">
        <f>'Fixed Costs'!D50</f>
        <v>2000</v>
      </c>
      <c r="E26" s="139">
        <f>'Fixed Costs'!E50</f>
        <v>150</v>
      </c>
      <c r="F26" s="139">
        <f>'Fixed Costs'!F50</f>
        <v>1141.4814655810587</v>
      </c>
      <c r="G26" s="139">
        <f>'Fixed Costs'!G50</f>
        <v>52.2</v>
      </c>
      <c r="H26" s="139">
        <f>'Fixed Costs'!H50</f>
        <v>1193.6814655810588</v>
      </c>
      <c r="I26" s="178">
        <f>'Fixed Costs'!I50</f>
        <v>20</v>
      </c>
      <c r="J26" s="132">
        <f>'Fixed Costs'!J50</f>
        <v>0.1044</v>
      </c>
      <c r="K26" s="123">
        <f>'Fixed Costs'!K50</f>
        <v>2.2829629311621176</v>
      </c>
    </row>
    <row r="27" spans="1:11" ht="12.75">
      <c r="A27" s="122" t="str">
        <f>'Fixed Costs'!A53</f>
        <v>Irrigation System</v>
      </c>
      <c r="B27" s="136">
        <f>'Fixed Costs'!B53</f>
        <v>11000</v>
      </c>
      <c r="C27" s="141">
        <f>'Fixed Costs'!C53</f>
        <v>0</v>
      </c>
      <c r="D27" s="136">
        <f>'Fixed Costs'!D53</f>
        <v>20</v>
      </c>
      <c r="E27" s="136">
        <f>'Fixed Costs'!E53</f>
        <v>1</v>
      </c>
      <c r="F27" s="146">
        <f>'Fixed Costs'!F53</f>
        <v>1292.0558724980033</v>
      </c>
      <c r="G27" s="136">
        <f>'Fixed Costs'!G53</f>
        <v>0</v>
      </c>
      <c r="H27" s="146">
        <f>'Fixed Costs'!H53</f>
        <v>1292.0558724980033</v>
      </c>
      <c r="I27" s="176">
        <f>'Fixed Costs'!I53</f>
        <v>100</v>
      </c>
      <c r="J27" s="132">
        <f>'Fixed Costs'!J53</f>
        <v>0</v>
      </c>
      <c r="K27" s="123">
        <f>'Fixed Costs'!K53</f>
        <v>12.920558724980033</v>
      </c>
    </row>
    <row r="28" spans="1:11" ht="12.75">
      <c r="A28" s="130" t="str">
        <f>'Fixed Costs'!A101</f>
        <v>VEHICLES</v>
      </c>
      <c r="B28" s="136"/>
      <c r="C28" s="141"/>
      <c r="D28" s="136"/>
      <c r="E28" s="136"/>
      <c r="F28" s="139"/>
      <c r="G28" s="136"/>
      <c r="H28" s="139"/>
      <c r="J28" s="132"/>
      <c r="K28" s="123"/>
    </row>
    <row r="29" spans="1:11" ht="12.75">
      <c r="A29" s="130" t="str">
        <f>'Fixed Costs'!A102</f>
        <v>Pickup</v>
      </c>
      <c r="B29" s="136">
        <f>'Fixed Costs'!B102</f>
        <v>19000</v>
      </c>
      <c r="C29" s="141">
        <f>'Fixed Costs'!C102</f>
        <v>2100</v>
      </c>
      <c r="D29" s="136">
        <f>'Fixed Costs'!D102</f>
        <v>100000</v>
      </c>
      <c r="E29" s="136">
        <f>'Fixed Costs'!E102</f>
        <v>15000</v>
      </c>
      <c r="F29" s="139">
        <f>'Fixed Costs'!F102</f>
        <v>3803.626135287426</v>
      </c>
      <c r="G29" s="136">
        <f>'Fixed Costs'!G102</f>
        <v>300</v>
      </c>
      <c r="H29" s="139">
        <f>'Fixed Costs'!H102</f>
        <v>4103.626135287426</v>
      </c>
      <c r="I29" s="176">
        <f>'Fixed Costs'!I102</f>
        <v>20</v>
      </c>
      <c r="J29" s="132">
        <f>'Fixed Costs'!J102</f>
        <v>0.6</v>
      </c>
      <c r="K29" s="123">
        <f>'Fixed Costs'!K102</f>
        <v>7.607252270574853</v>
      </c>
    </row>
    <row r="30" spans="1:11" ht="12.75">
      <c r="A30" t="str">
        <f>'Fixed Costs'!A103</f>
        <v>Semi truck</v>
      </c>
      <c r="B30" s="173">
        <f>'Fixed Costs'!B103</f>
        <v>70000</v>
      </c>
      <c r="C30" s="173">
        <f>'Fixed Costs'!C103</f>
        <v>14000</v>
      </c>
      <c r="D30" s="173">
        <f>'Fixed Costs'!D103</f>
        <v>150000</v>
      </c>
      <c r="E30" s="173">
        <f>'Fixed Costs'!E103</f>
        <v>5000</v>
      </c>
      <c r="F30" s="173">
        <f>'Fixed Costs'!F103</f>
        <v>7977.738987262563</v>
      </c>
      <c r="G30" s="173">
        <f>'Fixed Costs'!G103</f>
        <v>550</v>
      </c>
      <c r="H30" s="173">
        <f>'Fixed Costs'!H103</f>
        <v>8527.738987262563</v>
      </c>
      <c r="I30" s="176">
        <f>'Fixed Costs'!I103</f>
        <v>10</v>
      </c>
      <c r="J30" s="174">
        <f>'Fixed Costs'!J103</f>
        <v>0.55</v>
      </c>
      <c r="K30" s="174">
        <f>'Fixed Costs'!K103</f>
        <v>7.977738987262564</v>
      </c>
    </row>
    <row r="31" spans="1:11" ht="12.75">
      <c r="A31" t="str">
        <f>'Fixed Costs'!A104</f>
        <v>ATV</v>
      </c>
      <c r="B31" s="173">
        <f>'Fixed Costs'!B104</f>
        <v>8700</v>
      </c>
      <c r="C31" s="173">
        <f>'Fixed Costs'!C104</f>
        <v>800</v>
      </c>
      <c r="D31" s="173">
        <f>'Fixed Costs'!D104</f>
        <v>15000</v>
      </c>
      <c r="E31" s="173">
        <f>'Fixed Costs'!E104</f>
        <v>2200</v>
      </c>
      <c r="F31" s="173">
        <f>'Fixed Costs'!F104</f>
        <v>1733.1630311724557</v>
      </c>
      <c r="G31" s="173">
        <f>'Fixed Costs'!G104</f>
        <v>0</v>
      </c>
      <c r="H31" s="173">
        <f>'Fixed Costs'!H104</f>
        <v>1733.1630311724557</v>
      </c>
      <c r="I31" s="176">
        <f>'Fixed Costs'!I104</f>
        <v>50</v>
      </c>
      <c r="J31" s="174">
        <f>'Fixed Costs'!J104</f>
        <v>0</v>
      </c>
      <c r="K31" s="174">
        <f>'Fixed Costs'!K104</f>
        <v>8.665815155862278</v>
      </c>
    </row>
  </sheetData>
  <sheetProtection sheet="1" objects="1" scenarios="1"/>
  <printOptions horizontalCentered="1" verticalCentered="1"/>
  <pageMargins left="0.75" right="0.75" top="0.75" bottom="0.75" header="0.5" footer="0.5"/>
  <pageSetup fitToHeight="1" fitToWidth="1" horizontalDpi="300" verticalDpi="300" orientation="landscape" scale="93" r:id="rId3"/>
  <colBreaks count="1" manualBreakCount="1">
    <brk id="5" max="65535" man="1"/>
  </colBreaks>
  <legacyDrawing r:id="rId2"/>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O60"/>
  <sheetViews>
    <sheetView showGridLines="0" tabSelected="1" workbookViewId="0" topLeftCell="B1">
      <pane ySplit="15" topLeftCell="BM16" activePane="bottomLeft" state="frozen"/>
      <selection pane="topLeft" activeCell="G3" sqref="G3"/>
      <selection pane="bottomLeft" activeCell="B5" sqref="B5"/>
    </sheetView>
  </sheetViews>
  <sheetFormatPr defaultColWidth="9.8515625" defaultRowHeight="12.75"/>
  <cols>
    <col min="1" max="1" width="11.421875" style="66" hidden="1" customWidth="1"/>
    <col min="2" max="2" width="22.140625" style="67" customWidth="1"/>
    <col min="3" max="6" width="9.8515625" style="266" customWidth="1"/>
    <col min="7" max="8" width="11.140625" style="266" customWidth="1"/>
    <col min="9" max="9" width="1.7109375" style="67" customWidth="1"/>
    <col min="10" max="11" width="7.7109375" style="67" customWidth="1"/>
    <col min="12" max="12" width="1.7109375" style="67" customWidth="1"/>
    <col min="13" max="13" width="9.8515625" style="67" customWidth="1"/>
    <col min="14" max="14" width="9.8515625" style="67" hidden="1" customWidth="1"/>
    <col min="15" max="15" width="16.00390625" style="67" hidden="1" customWidth="1"/>
    <col min="16" max="16384" width="9.8515625" style="67" customWidth="1"/>
  </cols>
  <sheetData>
    <row r="1" spans="2:15" ht="15">
      <c r="B1" s="27" t="s">
        <v>0</v>
      </c>
      <c r="C1" s="268"/>
      <c r="D1" s="268"/>
      <c r="E1" s="268"/>
      <c r="F1" s="268"/>
      <c r="G1" s="208"/>
      <c r="H1" s="209"/>
      <c r="O1" s="66">
        <v>0</v>
      </c>
    </row>
    <row r="2" spans="2:8" ht="12.75">
      <c r="B2" s="28" t="s">
        <v>249</v>
      </c>
      <c r="C2" s="268"/>
      <c r="D2" s="268"/>
      <c r="E2" s="268"/>
      <c r="F2" s="268"/>
      <c r="G2" s="208"/>
      <c r="H2" s="209"/>
    </row>
    <row r="3" spans="2:8" ht="12.75">
      <c r="B3" s="28" t="s">
        <v>250</v>
      </c>
      <c r="C3" s="268"/>
      <c r="D3" s="268"/>
      <c r="E3" s="268"/>
      <c r="F3" s="269"/>
      <c r="G3" s="208"/>
      <c r="H3" s="209"/>
    </row>
    <row r="4" spans="2:8" ht="12.75">
      <c r="B4" s="65" t="s">
        <v>251</v>
      </c>
      <c r="C4" s="270"/>
      <c r="D4" s="270"/>
      <c r="E4" s="270"/>
      <c r="F4" s="270"/>
      <c r="G4" s="210"/>
      <c r="H4" s="211"/>
    </row>
    <row r="5" spans="2:8" ht="12.75">
      <c r="B5" s="2"/>
      <c r="C5" s="212"/>
      <c r="D5" s="212"/>
      <c r="E5" s="212"/>
      <c r="F5" s="212"/>
      <c r="G5" s="212"/>
      <c r="H5" s="213"/>
    </row>
    <row r="6" spans="2:8" ht="12.75">
      <c r="B6" s="29" t="s">
        <v>77</v>
      </c>
      <c r="C6" s="271"/>
      <c r="D6" s="224"/>
      <c r="E6" s="224"/>
      <c r="F6" s="224"/>
      <c r="G6" s="214" t="s">
        <v>191</v>
      </c>
      <c r="H6" s="215">
        <v>100</v>
      </c>
    </row>
    <row r="7" spans="1:8" ht="24" customHeight="1">
      <c r="A7" s="66" t="s">
        <v>128</v>
      </c>
      <c r="B7" s="75" t="s">
        <v>134</v>
      </c>
      <c r="C7" s="272"/>
      <c r="D7" s="273" t="s">
        <v>132</v>
      </c>
      <c r="E7" s="274" t="s">
        <v>84</v>
      </c>
      <c r="F7" s="216" t="s">
        <v>78</v>
      </c>
      <c r="G7" s="216" t="s">
        <v>79</v>
      </c>
      <c r="H7" s="217" t="s">
        <v>41</v>
      </c>
    </row>
    <row r="8" spans="1:8" ht="12.75" customHeight="1">
      <c r="A8" s="66" t="s">
        <v>130</v>
      </c>
      <c r="B8" s="84" t="s">
        <v>242</v>
      </c>
      <c r="C8" s="275"/>
      <c r="D8" s="276" t="s">
        <v>133</v>
      </c>
      <c r="E8" s="277">
        <v>3</v>
      </c>
      <c r="F8" s="218" t="s">
        <v>150</v>
      </c>
      <c r="G8" s="218">
        <v>100</v>
      </c>
      <c r="H8" s="219">
        <f>E8*G8</f>
        <v>300</v>
      </c>
    </row>
    <row r="9" spans="1:8" ht="12.75" customHeight="1">
      <c r="A9" s="66" t="s">
        <v>130</v>
      </c>
      <c r="B9" s="84" t="s">
        <v>243</v>
      </c>
      <c r="C9" s="275"/>
      <c r="D9" s="276" t="s">
        <v>133</v>
      </c>
      <c r="E9" s="277">
        <v>2</v>
      </c>
      <c r="F9" s="218" t="s">
        <v>150</v>
      </c>
      <c r="G9" s="218">
        <v>50</v>
      </c>
      <c r="H9" s="220">
        <f>E9*G9</f>
        <v>100</v>
      </c>
    </row>
    <row r="10" spans="1:8" ht="12.75" customHeight="1">
      <c r="A10" s="66" t="s">
        <v>130</v>
      </c>
      <c r="B10" s="163" t="s">
        <v>244</v>
      </c>
      <c r="C10" s="278"/>
      <c r="D10" s="279" t="s">
        <v>197</v>
      </c>
      <c r="E10" s="280">
        <v>100</v>
      </c>
      <c r="F10" s="221" t="s">
        <v>222</v>
      </c>
      <c r="G10" s="221">
        <v>0.15</v>
      </c>
      <c r="H10" s="222">
        <f>E10*G10</f>
        <v>15</v>
      </c>
    </row>
    <row r="11" spans="1:14" ht="12.75">
      <c r="A11" s="66" t="s">
        <v>129</v>
      </c>
      <c r="B11" s="74" t="s">
        <v>131</v>
      </c>
      <c r="C11" s="281"/>
      <c r="D11" s="282"/>
      <c r="E11" s="283">
        <f>+E8+E9</f>
        <v>5</v>
      </c>
      <c r="F11" s="284" t="str">
        <f>$F$8</f>
        <v>T</v>
      </c>
      <c r="G11" s="223">
        <f>+E8*G8/E11+E9*G9/E11</f>
        <v>80</v>
      </c>
      <c r="H11" s="223">
        <f>SUM(H8:H10)</f>
        <v>415</v>
      </c>
      <c r="N11" s="76">
        <f>+H10</f>
        <v>15</v>
      </c>
    </row>
    <row r="12" spans="1:8" ht="12.75">
      <c r="A12" s="72"/>
      <c r="B12" s="2"/>
      <c r="C12" s="212"/>
      <c r="D12" s="212"/>
      <c r="E12" s="212"/>
      <c r="F12" s="212"/>
      <c r="G12" s="212"/>
      <c r="H12" s="213"/>
    </row>
    <row r="13" spans="2:8" ht="12.75">
      <c r="B13" s="29" t="s">
        <v>36</v>
      </c>
      <c r="C13" s="271"/>
      <c r="D13" s="224"/>
      <c r="E13" s="224"/>
      <c r="F13" s="224"/>
      <c r="G13" s="224"/>
      <c r="H13" s="225"/>
    </row>
    <row r="14" spans="2:8" ht="12.75">
      <c r="B14" s="18"/>
      <c r="C14" s="322" t="s">
        <v>80</v>
      </c>
      <c r="D14" s="322"/>
      <c r="E14" s="226" t="s">
        <v>4</v>
      </c>
      <c r="F14" s="226" t="s">
        <v>3</v>
      </c>
      <c r="G14" s="226" t="s">
        <v>1</v>
      </c>
      <c r="H14" s="227" t="s">
        <v>96</v>
      </c>
    </row>
    <row r="15" spans="2:8" ht="12.75">
      <c r="B15" s="19"/>
      <c r="C15" s="285" t="s">
        <v>2</v>
      </c>
      <c r="D15" s="285" t="s">
        <v>94</v>
      </c>
      <c r="E15" s="228" t="s">
        <v>95</v>
      </c>
      <c r="F15" s="228" t="s">
        <v>95</v>
      </c>
      <c r="G15" s="228" t="s">
        <v>95</v>
      </c>
      <c r="H15" s="229" t="s">
        <v>95</v>
      </c>
    </row>
    <row r="16" spans="1:8" ht="12.75">
      <c r="A16" s="66" t="s">
        <v>88</v>
      </c>
      <c r="B16" s="77" t="s">
        <v>151</v>
      </c>
      <c r="C16" s="286"/>
      <c r="D16" s="286"/>
      <c r="E16" s="286"/>
      <c r="F16" s="286"/>
      <c r="G16" s="230"/>
      <c r="H16" s="231"/>
    </row>
    <row r="17" spans="1:8" ht="12.75">
      <c r="A17" s="66" t="s">
        <v>85</v>
      </c>
      <c r="B17" s="82" t="s">
        <v>245</v>
      </c>
      <c r="C17" s="287"/>
      <c r="D17" s="287"/>
      <c r="E17" s="218">
        <v>2.54</v>
      </c>
      <c r="F17" s="290">
        <v>3.86</v>
      </c>
      <c r="G17" s="233">
        <f>C18*D18+C19*D19</f>
        <v>21</v>
      </c>
      <c r="H17" s="232">
        <f>SUM(E17:G17)</f>
        <v>27.4</v>
      </c>
    </row>
    <row r="18" spans="1:8" ht="12.75">
      <c r="A18" s="66" t="s">
        <v>99</v>
      </c>
      <c r="B18" s="85" t="s">
        <v>247</v>
      </c>
      <c r="C18" s="326">
        <v>5</v>
      </c>
      <c r="D18" s="326">
        <v>3</v>
      </c>
      <c r="E18" s="288"/>
      <c r="F18" s="289"/>
      <c r="G18" s="233"/>
      <c r="H18" s="232"/>
    </row>
    <row r="19" spans="1:8" ht="12.75">
      <c r="A19" s="66" t="s">
        <v>99</v>
      </c>
      <c r="B19" s="81" t="s">
        <v>246</v>
      </c>
      <c r="C19" s="325">
        <v>1</v>
      </c>
      <c r="D19" s="325">
        <v>6</v>
      </c>
      <c r="E19" s="292"/>
      <c r="F19" s="293"/>
      <c r="G19" s="234"/>
      <c r="H19" s="235"/>
    </row>
    <row r="20" spans="1:8" ht="12.75">
      <c r="A20" s="66" t="s">
        <v>86</v>
      </c>
      <c r="B20" s="70" t="str">
        <f>CONCATENATE("Total ",B16)</f>
        <v>Total Preplant</v>
      </c>
      <c r="C20" s="291"/>
      <c r="D20" s="291"/>
      <c r="E20" s="291"/>
      <c r="F20" s="291"/>
      <c r="G20" s="236"/>
      <c r="H20" s="237">
        <f>SUM(H17:H19)</f>
        <v>27.4</v>
      </c>
    </row>
    <row r="21" spans="1:8" ht="12.75">
      <c r="A21" s="66" t="s">
        <v>88</v>
      </c>
      <c r="B21" s="77" t="s">
        <v>160</v>
      </c>
      <c r="C21" s="286"/>
      <c r="D21" s="286"/>
      <c r="E21" s="286"/>
      <c r="F21" s="286"/>
      <c r="G21" s="230"/>
      <c r="H21" s="231"/>
    </row>
    <row r="22" spans="1:8" ht="12.75">
      <c r="A22" s="66" t="s">
        <v>85</v>
      </c>
      <c r="B22" s="40" t="s">
        <v>245</v>
      </c>
      <c r="C22" s="287"/>
      <c r="D22" s="287"/>
      <c r="E22" s="218">
        <v>0</v>
      </c>
      <c r="F22" s="290">
        <v>0</v>
      </c>
      <c r="G22" s="233">
        <f>C23*D23</f>
        <v>0</v>
      </c>
      <c r="H22" s="232">
        <f>SUM(E22:G22)</f>
        <v>0</v>
      </c>
    </row>
    <row r="23" spans="1:8" ht="12.75">
      <c r="A23" s="66" t="s">
        <v>99</v>
      </c>
      <c r="B23" s="73" t="s">
        <v>247</v>
      </c>
      <c r="C23" s="221">
        <v>0</v>
      </c>
      <c r="D23" s="221">
        <v>0</v>
      </c>
      <c r="E23" s="292"/>
      <c r="F23" s="293"/>
      <c r="G23" s="234"/>
      <c r="H23" s="235"/>
    </row>
    <row r="24" spans="1:8" ht="12.75">
      <c r="A24" s="66" t="s">
        <v>86</v>
      </c>
      <c r="B24" s="70" t="str">
        <f>CONCATENATE("Total ",B21)</f>
        <v>Total Plant/Postplant</v>
      </c>
      <c r="C24" s="291"/>
      <c r="D24" s="291"/>
      <c r="E24" s="291"/>
      <c r="F24" s="291"/>
      <c r="G24" s="236"/>
      <c r="H24" s="237">
        <f>SUM(H22:H23)</f>
        <v>0</v>
      </c>
    </row>
    <row r="25" spans="1:8" ht="12.75">
      <c r="A25" s="66" t="s">
        <v>88</v>
      </c>
      <c r="B25" s="69" t="s">
        <v>196</v>
      </c>
      <c r="C25" s="238"/>
      <c r="D25" s="238"/>
      <c r="E25" s="238"/>
      <c r="F25" s="238"/>
      <c r="G25" s="238"/>
      <c r="H25" s="239"/>
    </row>
    <row r="26" spans="1:8" ht="12.75">
      <c r="A26" s="66" t="s">
        <v>85</v>
      </c>
      <c r="B26" s="83" t="s">
        <v>161</v>
      </c>
      <c r="C26" s="294"/>
      <c r="D26" s="295"/>
      <c r="E26" s="296">
        <v>0</v>
      </c>
      <c r="F26" s="296">
        <v>0</v>
      </c>
      <c r="G26" s="240">
        <f>C27*D27+C28*D28</f>
        <v>50.25</v>
      </c>
      <c r="H26" s="241">
        <f>SUM(E26:G26)</f>
        <v>50.25</v>
      </c>
    </row>
    <row r="27" spans="1:8" ht="12.75">
      <c r="A27" s="66" t="s">
        <v>99</v>
      </c>
      <c r="B27" s="85" t="s">
        <v>162</v>
      </c>
      <c r="C27" s="297">
        <v>1.5</v>
      </c>
      <c r="D27" s="297">
        <v>26</v>
      </c>
      <c r="E27" s="298"/>
      <c r="F27" s="299"/>
      <c r="G27" s="242"/>
      <c r="H27" s="243"/>
    </row>
    <row r="28" spans="1:8" ht="12.75">
      <c r="A28" s="66" t="s">
        <v>99</v>
      </c>
      <c r="B28" s="81" t="s">
        <v>163</v>
      </c>
      <c r="C28" s="300">
        <v>1.5</v>
      </c>
      <c r="D28" s="300">
        <v>7.5</v>
      </c>
      <c r="E28" s="301"/>
      <c r="F28" s="302"/>
      <c r="G28" s="244"/>
      <c r="H28" s="245"/>
    </row>
    <row r="29" spans="1:8" ht="12.75">
      <c r="A29" s="66" t="s">
        <v>86</v>
      </c>
      <c r="B29" s="39" t="str">
        <f>CONCATENATE("Total ",B25)</f>
        <v>Total Harvest and Other Yield Varying Costs</v>
      </c>
      <c r="C29" s="238"/>
      <c r="D29" s="238"/>
      <c r="E29" s="238"/>
      <c r="F29" s="238"/>
      <c r="G29" s="246"/>
      <c r="H29" s="247">
        <f>SUM(H26:H28)</f>
        <v>50.25</v>
      </c>
    </row>
    <row r="30" spans="1:8" ht="12.75">
      <c r="A30" s="66" t="s">
        <v>88</v>
      </c>
      <c r="B30" s="78" t="s">
        <v>147</v>
      </c>
      <c r="C30" s="257"/>
      <c r="D30" s="257"/>
      <c r="E30" s="238"/>
      <c r="F30" s="238"/>
      <c r="G30" s="238"/>
      <c r="H30" s="248"/>
    </row>
    <row r="31" spans="1:8" ht="12.75">
      <c r="A31" s="66" t="s">
        <v>85</v>
      </c>
      <c r="B31" s="82" t="s">
        <v>43</v>
      </c>
      <c r="C31" s="303"/>
      <c r="D31" s="304"/>
      <c r="E31" s="296">
        <v>4.84</v>
      </c>
      <c r="F31" s="296">
        <v>1.11</v>
      </c>
      <c r="G31" s="240"/>
      <c r="H31" s="243">
        <f>SUM(E31:G31)</f>
        <v>5.95</v>
      </c>
    </row>
    <row r="32" spans="1:8" ht="12.75">
      <c r="A32" s="66" t="s">
        <v>85</v>
      </c>
      <c r="B32" s="82" t="s">
        <v>164</v>
      </c>
      <c r="C32" s="303"/>
      <c r="D32" s="304"/>
      <c r="E32" s="297">
        <v>3.46</v>
      </c>
      <c r="F32" s="305">
        <v>1.46</v>
      </c>
      <c r="G32" s="242"/>
      <c r="H32" s="243">
        <f>SUM(E32:G32)</f>
        <v>4.92</v>
      </c>
    </row>
    <row r="33" spans="1:8" ht="12.75">
      <c r="A33" s="66" t="s">
        <v>85</v>
      </c>
      <c r="B33" s="82" t="s">
        <v>165</v>
      </c>
      <c r="C33" s="303"/>
      <c r="D33" s="304"/>
      <c r="E33" s="297">
        <v>0</v>
      </c>
      <c r="F33" s="305">
        <v>0</v>
      </c>
      <c r="G33" s="242">
        <f>C34*D34</f>
        <v>4.5</v>
      </c>
      <c r="H33" s="243">
        <f>SUM(E33:G33)</f>
        <v>4.5</v>
      </c>
    </row>
    <row r="34" spans="1:8" ht="12.75">
      <c r="A34" s="66" t="s">
        <v>99</v>
      </c>
      <c r="B34" s="81" t="s">
        <v>166</v>
      </c>
      <c r="C34" s="300">
        <v>90</v>
      </c>
      <c r="D34" s="300">
        <f>0.1/2</f>
        <v>0.05</v>
      </c>
      <c r="E34" s="301"/>
      <c r="F34" s="302"/>
      <c r="G34" s="244"/>
      <c r="H34" s="245"/>
    </row>
    <row r="35" spans="1:8" ht="12.75">
      <c r="A35" s="66" t="s">
        <v>86</v>
      </c>
      <c r="B35" s="38" t="str">
        <f>CONCATENATE("Total ",B30)</f>
        <v>Total Other variable costs</v>
      </c>
      <c r="C35" s="306"/>
      <c r="D35" s="306"/>
      <c r="E35" s="307"/>
      <c r="F35" s="307"/>
      <c r="G35" s="249"/>
      <c r="H35" s="247">
        <f>SUM(H31:H34)</f>
        <v>15.370000000000001</v>
      </c>
    </row>
    <row r="36" spans="1:8" ht="12.75">
      <c r="A36" s="66" t="s">
        <v>87</v>
      </c>
      <c r="B36" s="31" t="s">
        <v>81</v>
      </c>
      <c r="C36" s="308"/>
      <c r="D36" s="261"/>
      <c r="E36" s="250">
        <f>SUM(E16:E35)</f>
        <v>10.84</v>
      </c>
      <c r="F36" s="250">
        <f>SUM(F16:F35)</f>
        <v>6.43</v>
      </c>
      <c r="G36" s="250">
        <f>SUM(G16:G35)</f>
        <v>75.75</v>
      </c>
      <c r="H36" s="251">
        <f>SUM(H20,H24,H29,H35)</f>
        <v>93.02000000000001</v>
      </c>
    </row>
    <row r="37" spans="2:8" ht="12.75">
      <c r="B37" s="32"/>
      <c r="C37" s="252"/>
      <c r="D37" s="255"/>
      <c r="E37" s="255"/>
      <c r="F37" s="255"/>
      <c r="G37" s="252"/>
      <c r="H37" s="253"/>
    </row>
    <row r="38" spans="2:8" ht="12.75">
      <c r="B38" s="4"/>
      <c r="C38" s="252"/>
      <c r="D38" s="255"/>
      <c r="E38" s="255"/>
      <c r="F38" s="255"/>
      <c r="G38" s="252"/>
      <c r="H38" s="254"/>
    </row>
    <row r="39" spans="1:8" ht="12.75">
      <c r="A39" s="66" t="s">
        <v>89</v>
      </c>
      <c r="B39" s="33" t="s">
        <v>37</v>
      </c>
      <c r="C39" s="309"/>
      <c r="D39" s="255"/>
      <c r="E39" s="255"/>
      <c r="F39" s="255"/>
      <c r="G39" s="255"/>
      <c r="H39" s="213"/>
    </row>
    <row r="40" spans="2:8" ht="12.75">
      <c r="B40" s="34"/>
      <c r="C40" s="310"/>
      <c r="D40" s="310"/>
      <c r="E40" s="256"/>
      <c r="F40" s="256"/>
      <c r="G40" s="256"/>
      <c r="H40" s="211" t="s">
        <v>42</v>
      </c>
    </row>
    <row r="41" spans="1:15" ht="12.75">
      <c r="A41" s="66" t="s">
        <v>126</v>
      </c>
      <c r="B41" s="78" t="s">
        <v>148</v>
      </c>
      <c r="C41" s="257"/>
      <c r="D41" s="257"/>
      <c r="E41" s="257"/>
      <c r="F41" s="257"/>
      <c r="G41" s="257"/>
      <c r="H41" s="248"/>
      <c r="O41" s="67" t="s">
        <v>199</v>
      </c>
    </row>
    <row r="42" spans="1:15" ht="12.75">
      <c r="A42" s="66" t="s">
        <v>125</v>
      </c>
      <c r="B42" s="82" t="s">
        <v>186</v>
      </c>
      <c r="C42" s="304"/>
      <c r="D42" s="304"/>
      <c r="E42" s="311"/>
      <c r="F42" s="311"/>
      <c r="G42" s="258">
        <v>150</v>
      </c>
      <c r="H42" s="243">
        <f>G42</f>
        <v>150</v>
      </c>
      <c r="O42" s="67" t="s">
        <v>200</v>
      </c>
    </row>
    <row r="43" spans="1:15" ht="12.75">
      <c r="A43" s="66" t="s">
        <v>125</v>
      </c>
      <c r="B43" s="82" t="s">
        <v>248</v>
      </c>
      <c r="C43" s="327"/>
      <c r="D43" s="327"/>
      <c r="E43" s="311"/>
      <c r="F43" s="311"/>
      <c r="G43" s="305">
        <f>'Fixed Costs'!J3</f>
        <v>9.0922</v>
      </c>
      <c r="H43" s="243">
        <f>G43</f>
        <v>9.0922</v>
      </c>
      <c r="O43" s="67" t="s">
        <v>200</v>
      </c>
    </row>
    <row r="44" spans="1:15" ht="12.75">
      <c r="A44" s="66" t="s">
        <v>127</v>
      </c>
      <c r="B44" s="71" t="str">
        <f>CONCATENATE("Total ",B41)</f>
        <v>Total CASH Fixed Costs</v>
      </c>
      <c r="C44" s="312"/>
      <c r="D44" s="312"/>
      <c r="E44" s="312"/>
      <c r="F44" s="312"/>
      <c r="G44" s="238"/>
      <c r="H44" s="259">
        <f>SUM(H42:H43)</f>
        <v>159.0922</v>
      </c>
      <c r="O44" s="67" t="s">
        <v>201</v>
      </c>
    </row>
    <row r="45" spans="1:15" ht="12.75">
      <c r="A45" s="66" t="s">
        <v>126</v>
      </c>
      <c r="B45" s="69" t="s">
        <v>149</v>
      </c>
      <c r="C45" s="312"/>
      <c r="D45" s="312"/>
      <c r="E45" s="312"/>
      <c r="F45" s="312"/>
      <c r="G45" s="238"/>
      <c r="H45" s="239"/>
      <c r="O45" s="67" t="s">
        <v>202</v>
      </c>
    </row>
    <row r="46" spans="1:15" ht="12.75">
      <c r="A46" s="66" t="s">
        <v>125</v>
      </c>
      <c r="B46" s="83" t="s">
        <v>188</v>
      </c>
      <c r="C46" s="328"/>
      <c r="D46" s="328"/>
      <c r="E46" s="313"/>
      <c r="F46" s="313"/>
      <c r="G46" s="258">
        <f>'Fixed Costs'!K3</f>
        <v>202.80482989206882</v>
      </c>
      <c r="H46" s="260">
        <f>G46</f>
        <v>202.80482989206882</v>
      </c>
      <c r="O46" s="67" t="s">
        <v>203</v>
      </c>
    </row>
    <row r="47" spans="1:15" ht="12.75">
      <c r="A47" s="66" t="s">
        <v>127</v>
      </c>
      <c r="B47" s="71" t="str">
        <f>CONCATENATE("Total ",B45)</f>
        <v>Total NONCASH Fixed Costs</v>
      </c>
      <c r="C47" s="312"/>
      <c r="D47" s="312"/>
      <c r="E47" s="312"/>
      <c r="F47" s="312"/>
      <c r="G47" s="238"/>
      <c r="H47" s="259">
        <f>H46</f>
        <v>202.80482989206882</v>
      </c>
      <c r="O47" s="67" t="s">
        <v>204</v>
      </c>
    </row>
    <row r="48" spans="1:8" ht="12.75">
      <c r="A48" s="66" t="s">
        <v>87</v>
      </c>
      <c r="B48" s="30" t="s">
        <v>44</v>
      </c>
      <c r="C48" s="261"/>
      <c r="D48" s="261"/>
      <c r="E48" s="261"/>
      <c r="F48" s="261"/>
      <c r="G48" s="261"/>
      <c r="H48" s="262">
        <f>SUM(H44+H47)</f>
        <v>361.8970298920688</v>
      </c>
    </row>
    <row r="49" spans="2:8" ht="12.75">
      <c r="B49" s="2"/>
      <c r="C49" s="212"/>
      <c r="D49" s="212"/>
      <c r="E49" s="212"/>
      <c r="F49" s="212"/>
      <c r="G49" s="212"/>
      <c r="H49" s="213"/>
    </row>
    <row r="50" spans="2:8" ht="12.75">
      <c r="B50" s="2"/>
      <c r="C50" s="212"/>
      <c r="D50" s="212"/>
      <c r="E50" s="212"/>
      <c r="F50" s="212"/>
      <c r="G50" s="212"/>
      <c r="H50" s="213"/>
    </row>
    <row r="51" spans="2:8" ht="12.75">
      <c r="B51" s="38" t="s">
        <v>98</v>
      </c>
      <c r="C51" s="263"/>
      <c r="D51" s="263"/>
      <c r="E51" s="263"/>
      <c r="F51" s="263"/>
      <c r="G51" s="263"/>
      <c r="H51" s="264"/>
    </row>
    <row r="52" spans="2:7" ht="12.75">
      <c r="B52" s="36" t="s">
        <v>39</v>
      </c>
      <c r="C52" s="314"/>
      <c r="D52" s="314"/>
      <c r="E52" s="314"/>
      <c r="F52" s="204">
        <f>H36</f>
        <v>93.02000000000001</v>
      </c>
      <c r="G52" s="265"/>
    </row>
    <row r="53" spans="2:7" ht="12.75">
      <c r="B53" s="35" t="s">
        <v>40</v>
      </c>
      <c r="C53" s="315"/>
      <c r="D53" s="315"/>
      <c r="E53" s="315"/>
      <c r="F53" s="205">
        <f>H48</f>
        <v>361.8970298920688</v>
      </c>
      <c r="G53" s="265"/>
    </row>
    <row r="54" spans="2:7" ht="12.75">
      <c r="B54" s="36" t="s">
        <v>6</v>
      </c>
      <c r="C54" s="314"/>
      <c r="D54" s="314"/>
      <c r="E54" s="314"/>
      <c r="F54" s="204">
        <f>SUM(H11-F52)</f>
        <v>321.98</v>
      </c>
      <c r="G54" s="265"/>
    </row>
    <row r="55" spans="2:7" ht="12.75">
      <c r="B55" s="36" t="s">
        <v>102</v>
      </c>
      <c r="C55" s="314"/>
      <c r="D55" s="314"/>
      <c r="E55" s="314"/>
      <c r="F55" s="204">
        <f>H11-F52-H44</f>
        <v>162.88780000000003</v>
      </c>
      <c r="G55" s="265"/>
    </row>
    <row r="56" spans="2:7" ht="13.5" thickBot="1">
      <c r="B56" s="35" t="s">
        <v>7</v>
      </c>
      <c r="C56" s="315"/>
      <c r="D56" s="315"/>
      <c r="E56" s="315"/>
      <c r="F56" s="205">
        <f>SUM(H11-(F52+F53))</f>
        <v>-39.917029892068854</v>
      </c>
      <c r="G56" s="265"/>
    </row>
    <row r="57" spans="1:7" ht="13.5" thickTop="1">
      <c r="A57" s="66" t="s">
        <v>135</v>
      </c>
      <c r="B57" s="37" t="s">
        <v>45</v>
      </c>
      <c r="C57" s="316"/>
      <c r="D57" s="316"/>
      <c r="E57" s="316"/>
      <c r="F57" s="206">
        <f>(F52-N11)/E11</f>
        <v>15.604000000000003</v>
      </c>
      <c r="G57" s="267"/>
    </row>
    <row r="58" spans="1:7" ht="12.75">
      <c r="A58" s="66" t="s">
        <v>136</v>
      </c>
      <c r="B58" s="68" t="s">
        <v>46</v>
      </c>
      <c r="C58" s="317"/>
      <c r="D58" s="317"/>
      <c r="E58" s="317"/>
      <c r="F58" s="207">
        <f>(F52+F53-N11)/E11</f>
        <v>87.98340597841377</v>
      </c>
      <c r="G58" s="267"/>
    </row>
    <row r="59" spans="2:6" ht="12.75">
      <c r="B59" s="68" t="s">
        <v>140</v>
      </c>
      <c r="C59" s="317"/>
      <c r="D59" s="317"/>
      <c r="E59" s="317"/>
      <c r="F59" s="207">
        <f>(F52-H29+F53-N11)/(G11-H29/E11)</f>
        <v>5.570650891952378</v>
      </c>
    </row>
    <row r="60" spans="2:6" ht="12.75">
      <c r="B60" s="68" t="s">
        <v>137</v>
      </c>
      <c r="C60" s="317"/>
      <c r="D60" s="317"/>
      <c r="E60" s="317"/>
      <c r="F60" s="207">
        <f>(F52+F53-N11)/G11</f>
        <v>5.498962873650861</v>
      </c>
    </row>
    <row r="62" ht="12.75"/>
    <row r="63" ht="12.75"/>
  </sheetData>
  <sheetProtection sheet="1" objects="1" scenarios="1"/>
  <mergeCells count="1">
    <mergeCell ref="C14:D14"/>
  </mergeCells>
  <printOptions/>
  <pageMargins left="1.14" right="1.036" top="1.036" bottom="1.036" header="0.5" footer="0.5"/>
  <pageSetup fitToHeight="4" fitToWidth="1" horizontalDpi="600" verticalDpi="600" orientation="portrait" scale="96"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R100"/>
  <sheetViews>
    <sheetView workbookViewId="0" topLeftCell="A1">
      <pane xSplit="1" ySplit="3" topLeftCell="H4" activePane="bottomRight" state="frozen"/>
      <selection pane="topLeft" activeCell="G3" sqref="G3"/>
      <selection pane="topRight" activeCell="G3" sqref="G3"/>
      <selection pane="bottomLeft" activeCell="G3" sqref="G3"/>
      <selection pane="bottomRight" activeCell="R5" sqref="R5"/>
    </sheetView>
  </sheetViews>
  <sheetFormatPr defaultColWidth="9.8515625" defaultRowHeight="12.75"/>
  <cols>
    <col min="1" max="1" width="29.421875" style="165" customWidth="1"/>
    <col min="2" max="2" width="7.7109375" style="165" customWidth="1"/>
    <col min="3" max="3" width="8.7109375" style="165" customWidth="1"/>
    <col min="4" max="4" width="7.7109375" style="165" customWidth="1"/>
    <col min="5" max="5" width="6.7109375" style="165" customWidth="1"/>
    <col min="6" max="6" width="5.7109375" style="167" customWidth="1"/>
    <col min="7" max="8" width="9.7109375" style="190" customWidth="1"/>
    <col min="9" max="11" width="9.8515625" style="190" customWidth="1"/>
    <col min="12" max="12" width="11.57421875" style="168" customWidth="1"/>
    <col min="13" max="13" width="9.8515625" style="194" customWidth="1"/>
    <col min="14" max="16" width="9.8515625" style="165" customWidth="1"/>
    <col min="17" max="17" width="10.7109375" style="165" customWidth="1"/>
    <col min="18" max="18" width="10.28125" style="164" customWidth="1"/>
    <col min="19" max="23" width="9.8515625" style="165" customWidth="1"/>
    <col min="24" max="16384" width="9.8515625" style="165" customWidth="1"/>
  </cols>
  <sheetData>
    <row r="1" spans="1:18" s="164" customFormat="1" ht="12.75">
      <c r="A1" s="54" t="s">
        <v>97</v>
      </c>
      <c r="B1" s="47" t="s">
        <v>50</v>
      </c>
      <c r="C1" s="48" t="s">
        <v>52</v>
      </c>
      <c r="D1" s="47" t="s">
        <v>52</v>
      </c>
      <c r="E1" s="48" t="s">
        <v>13</v>
      </c>
      <c r="F1" s="47" t="s">
        <v>14</v>
      </c>
      <c r="G1" s="183" t="s">
        <v>15</v>
      </c>
      <c r="H1" s="184" t="s">
        <v>67</v>
      </c>
      <c r="I1" s="183" t="s">
        <v>55</v>
      </c>
      <c r="J1" s="184" t="s">
        <v>57</v>
      </c>
      <c r="K1" s="183" t="s">
        <v>59</v>
      </c>
      <c r="L1" s="49" t="s">
        <v>73</v>
      </c>
      <c r="M1" s="323" t="s">
        <v>101</v>
      </c>
      <c r="N1" s="324"/>
      <c r="O1" s="48" t="s">
        <v>70</v>
      </c>
      <c r="P1" s="47" t="s">
        <v>72</v>
      </c>
      <c r="Q1" s="48" t="s">
        <v>75</v>
      </c>
      <c r="R1" s="47" t="s">
        <v>171</v>
      </c>
    </row>
    <row r="2" spans="1:18" s="164" customFormat="1" ht="12.75">
      <c r="A2" s="50"/>
      <c r="B2" s="47" t="s">
        <v>51</v>
      </c>
      <c r="C2" s="48" t="s">
        <v>53</v>
      </c>
      <c r="D2" s="47" t="s">
        <v>54</v>
      </c>
      <c r="E2" s="48"/>
      <c r="F2" s="47"/>
      <c r="G2" s="183"/>
      <c r="H2" s="184"/>
      <c r="I2" s="183" t="s">
        <v>56</v>
      </c>
      <c r="J2" s="184" t="s">
        <v>58</v>
      </c>
      <c r="K2" s="183" t="s">
        <v>60</v>
      </c>
      <c r="L2" s="49" t="s">
        <v>74</v>
      </c>
      <c r="M2" s="191"/>
      <c r="N2" s="47"/>
      <c r="O2" s="48" t="s">
        <v>71</v>
      </c>
      <c r="P2" s="47" t="s">
        <v>71</v>
      </c>
      <c r="Q2" s="48" t="s">
        <v>61</v>
      </c>
      <c r="R2" s="47" t="s">
        <v>206</v>
      </c>
    </row>
    <row r="3" spans="1:18" s="164" customFormat="1" ht="12.75">
      <c r="A3" s="50"/>
      <c r="B3" s="51" t="s">
        <v>18</v>
      </c>
      <c r="C3" s="52" t="s">
        <v>10</v>
      </c>
      <c r="D3" s="51" t="s">
        <v>19</v>
      </c>
      <c r="E3" s="52" t="s">
        <v>20</v>
      </c>
      <c r="F3" s="51"/>
      <c r="G3" s="185" t="s">
        <v>21</v>
      </c>
      <c r="H3" s="186" t="s">
        <v>21</v>
      </c>
      <c r="I3" s="185" t="s">
        <v>21</v>
      </c>
      <c r="J3" s="186" t="s">
        <v>22</v>
      </c>
      <c r="K3" s="185" t="s">
        <v>22</v>
      </c>
      <c r="L3" s="53" t="s">
        <v>10</v>
      </c>
      <c r="M3" s="192" t="s">
        <v>23</v>
      </c>
      <c r="N3" s="47" t="s">
        <v>24</v>
      </c>
      <c r="O3" s="52"/>
      <c r="P3" s="51"/>
      <c r="Q3" s="52"/>
      <c r="R3" s="47" t="s">
        <v>10</v>
      </c>
    </row>
    <row r="4" spans="1:18" ht="12.75">
      <c r="A4" s="17" t="s">
        <v>49</v>
      </c>
      <c r="B4" s="5"/>
      <c r="C4" s="42"/>
      <c r="D4" s="21"/>
      <c r="E4" s="43"/>
      <c r="F4" s="9"/>
      <c r="G4" s="187"/>
      <c r="H4" s="188">
        <f>IF(ISNUMBER(G4),0.4*G4,"")</f>
      </c>
      <c r="I4" s="187"/>
      <c r="J4" s="189"/>
      <c r="K4" s="195">
        <f>IF(ISNUMBER(J4),0.2*J4,"")</f>
      </c>
      <c r="L4" s="13"/>
      <c r="M4" s="193"/>
      <c r="N4" s="21"/>
      <c r="O4" s="46">
        <f>IF(AND(ISNUMBER(G4),ISNUMBER(I4)),G4/I4,"")</f>
      </c>
      <c r="P4" s="3">
        <f>IF(ISNUMBER(O4),IF(O4&lt;20,O4,20),"")</f>
      </c>
      <c r="Q4" s="46">
        <f>IF(ISNUMBER(P4),('Prices &amp; Rates'!$C$4/100)/(1-(1+'Prices &amp; Rates'!$C$4/100)^(-P4)),"")</f>
      </c>
      <c r="R4" s="179"/>
    </row>
    <row r="5" spans="1:18" ht="12.75">
      <c r="A5" s="20" t="s">
        <v>152</v>
      </c>
      <c r="B5" s="5">
        <v>60</v>
      </c>
      <c r="C5" s="42"/>
      <c r="D5" s="22"/>
      <c r="E5" s="43"/>
      <c r="F5" s="9" t="s">
        <v>17</v>
      </c>
      <c r="G5" s="187">
        <v>10000</v>
      </c>
      <c r="H5" s="188">
        <f>IF(ISNUMBER(G5),0.4*G5,"")</f>
        <v>4000</v>
      </c>
      <c r="I5" s="187">
        <v>300</v>
      </c>
      <c r="J5" s="189">
        <v>30750</v>
      </c>
      <c r="K5" s="195">
        <f>IF(ISNUMBER(J5),0.2*J5,"")</f>
        <v>6150</v>
      </c>
      <c r="L5" s="13">
        <v>1</v>
      </c>
      <c r="M5" s="193">
        <v>0.007</v>
      </c>
      <c r="N5" s="21">
        <v>2</v>
      </c>
      <c r="O5" s="46">
        <f aca="true" t="shared" si="0" ref="O5:O68">IF(AND(ISNUMBER(G5),ISNUMBER(I5)),G5/I5,"")</f>
        <v>33.333333333333336</v>
      </c>
      <c r="P5" s="3">
        <f aca="true" t="shared" si="1" ref="P5:P68">IF(ISNUMBER(O5),IF(O5&lt;20,O5,20),"")</f>
        <v>20</v>
      </c>
      <c r="Q5" s="46">
        <f>IF(ISNUMBER(P5),('Prices &amp; Rates'!$C$4/100)/(1-(1+'Prices &amp; Rates'!$C$4/100)^(-P5)),"")</f>
        <v>0.11745962477254576</v>
      </c>
      <c r="R5" s="179">
        <v>100</v>
      </c>
    </row>
    <row r="6" spans="1:18" ht="12.75">
      <c r="A6" s="20" t="s">
        <v>153</v>
      </c>
      <c r="B6" s="5">
        <v>70</v>
      </c>
      <c r="C6" s="42"/>
      <c r="D6" s="22"/>
      <c r="E6" s="43"/>
      <c r="F6" s="9" t="s">
        <v>17</v>
      </c>
      <c r="G6" s="187">
        <v>10000</v>
      </c>
      <c r="H6" s="188">
        <f>IF(ISNUMBER(G6),0.4*G6,"")</f>
        <v>4000</v>
      </c>
      <c r="I6" s="187">
        <v>200</v>
      </c>
      <c r="J6" s="189">
        <v>40500</v>
      </c>
      <c r="K6" s="195">
        <f aca="true" t="shared" si="2" ref="K6:K69">IF(ISNUMBER(J6),0.2*J6,"")</f>
        <v>8100</v>
      </c>
      <c r="L6" s="13">
        <v>1</v>
      </c>
      <c r="M6" s="193">
        <v>0.007</v>
      </c>
      <c r="N6" s="21">
        <v>2</v>
      </c>
      <c r="O6" s="46">
        <f t="shared" si="0"/>
        <v>50</v>
      </c>
      <c r="P6" s="3">
        <f t="shared" si="1"/>
        <v>20</v>
      </c>
      <c r="Q6" s="46">
        <f>IF(ISNUMBER(P6),('Prices &amp; Rates'!$C$4/100)/(1-(1+'Prices &amp; Rates'!$C$4/100)^(-P6)),"")</f>
        <v>0.11745962477254576</v>
      </c>
      <c r="R6" s="179"/>
    </row>
    <row r="7" spans="1:18" ht="12.75">
      <c r="A7" s="20" t="s">
        <v>154</v>
      </c>
      <c r="B7" s="5">
        <v>150</v>
      </c>
      <c r="C7" s="42"/>
      <c r="D7" s="22"/>
      <c r="E7" s="43"/>
      <c r="F7" s="9" t="s">
        <v>17</v>
      </c>
      <c r="G7" s="187">
        <v>10000</v>
      </c>
      <c r="H7" s="188">
        <f>IF(ISNUMBER(G7),0.4*G7,"")</f>
        <v>4000</v>
      </c>
      <c r="I7" s="187">
        <v>400</v>
      </c>
      <c r="J7" s="189">
        <v>105000</v>
      </c>
      <c r="K7" s="195">
        <f t="shared" si="2"/>
        <v>21000</v>
      </c>
      <c r="L7" s="13">
        <v>1</v>
      </c>
      <c r="M7" s="193">
        <v>0.003</v>
      </c>
      <c r="N7" s="21">
        <v>2</v>
      </c>
      <c r="O7" s="46">
        <f t="shared" si="0"/>
        <v>25</v>
      </c>
      <c r="P7" s="3">
        <f t="shared" si="1"/>
        <v>20</v>
      </c>
      <c r="Q7" s="46">
        <f>IF(ISNUMBER(P7),('Prices &amp; Rates'!$C$4/100)/(1-(1+'Prices &amp; Rates'!$C$4/100)^(-P7)),"")</f>
        <v>0.11745962477254576</v>
      </c>
      <c r="R7" s="179">
        <v>20</v>
      </c>
    </row>
    <row r="8" spans="1:18" ht="12.75">
      <c r="A8" s="20" t="s">
        <v>155</v>
      </c>
      <c r="B8" s="5">
        <v>160</v>
      </c>
      <c r="C8" s="42"/>
      <c r="D8" s="22"/>
      <c r="E8" s="43"/>
      <c r="F8" s="9" t="s">
        <v>17</v>
      </c>
      <c r="G8" s="187">
        <v>10000</v>
      </c>
      <c r="H8" s="188">
        <f>IF(ISNUMBER(G8),0.4*G8,"")</f>
        <v>4000</v>
      </c>
      <c r="I8" s="187">
        <v>200</v>
      </c>
      <c r="J8" s="189">
        <v>110000</v>
      </c>
      <c r="K8" s="195">
        <f t="shared" si="2"/>
        <v>22000</v>
      </c>
      <c r="L8" s="13">
        <v>1</v>
      </c>
      <c r="M8" s="193">
        <v>0.003</v>
      </c>
      <c r="N8" s="21">
        <v>2</v>
      </c>
      <c r="O8" s="46">
        <f t="shared" si="0"/>
        <v>50</v>
      </c>
      <c r="P8" s="3">
        <f t="shared" si="1"/>
        <v>20</v>
      </c>
      <c r="Q8" s="46">
        <f>IF(ISNUMBER(P8),('Prices &amp; Rates'!$C$4/100)/(1-(1+'Prices &amp; Rates'!$C$4/100)^(-P8)),"")</f>
        <v>0.11745962477254576</v>
      </c>
      <c r="R8" s="179">
        <v>20</v>
      </c>
    </row>
    <row r="9" spans="1:18" ht="12.75">
      <c r="A9" s="20"/>
      <c r="B9" s="5"/>
      <c r="C9" s="42"/>
      <c r="D9" s="21"/>
      <c r="E9" s="43"/>
      <c r="F9" s="9"/>
      <c r="G9" s="187"/>
      <c r="H9" s="188">
        <f aca="true" t="shared" si="3" ref="H9:H72">IF(ISNUMBER(G9),0.4*G9,"")</f>
      </c>
      <c r="I9" s="187"/>
      <c r="J9" s="189"/>
      <c r="K9" s="195">
        <f t="shared" si="2"/>
      </c>
      <c r="L9" s="13"/>
      <c r="M9" s="193"/>
      <c r="N9" s="21"/>
      <c r="O9" s="46">
        <f t="shared" si="0"/>
      </c>
      <c r="P9" s="3">
        <f t="shared" si="1"/>
      </c>
      <c r="Q9" s="46">
        <f>IF(ISNUMBER(P9),('Prices &amp; Rates'!$C$4/100)/(1-(1+'Prices &amp; Rates'!$C$4/100)^(-P9)),"")</f>
      </c>
      <c r="R9" s="179"/>
    </row>
    <row r="10" spans="1:18" ht="12.75">
      <c r="A10" s="20"/>
      <c r="B10" s="5"/>
      <c r="C10" s="42"/>
      <c r="D10" s="21"/>
      <c r="E10" s="43"/>
      <c r="F10" s="9"/>
      <c r="G10" s="187"/>
      <c r="H10" s="188">
        <f t="shared" si="3"/>
      </c>
      <c r="I10" s="187"/>
      <c r="J10" s="189"/>
      <c r="K10" s="195">
        <f t="shared" si="2"/>
      </c>
      <c r="L10" s="13"/>
      <c r="M10" s="193"/>
      <c r="N10" s="21"/>
      <c r="O10" s="46">
        <f t="shared" si="0"/>
      </c>
      <c r="P10" s="3">
        <f t="shared" si="1"/>
      </c>
      <c r="Q10" s="46">
        <f>IF(ISNUMBER(P10),('Prices &amp; Rates'!$C$4/100)/(1-(1+'Prices &amp; Rates'!$C$4/100)^(-P10)),"")</f>
      </c>
      <c r="R10" s="179"/>
    </row>
    <row r="11" spans="1:18" ht="12.75">
      <c r="A11" s="20"/>
      <c r="B11" s="5"/>
      <c r="C11" s="42"/>
      <c r="D11" s="21"/>
      <c r="E11" s="43"/>
      <c r="F11" s="9"/>
      <c r="G11" s="187"/>
      <c r="H11" s="188">
        <f t="shared" si="3"/>
      </c>
      <c r="I11" s="187"/>
      <c r="J11" s="189"/>
      <c r="K11" s="195">
        <f t="shared" si="2"/>
      </c>
      <c r="L11" s="13"/>
      <c r="M11" s="193"/>
      <c r="N11" s="21"/>
      <c r="O11" s="46">
        <f t="shared" si="0"/>
      </c>
      <c r="P11" s="3">
        <f t="shared" si="1"/>
      </c>
      <c r="Q11" s="46">
        <f>IF(ISNUMBER(P11),('Prices &amp; Rates'!$C$4/100)/(1-(1+'Prices &amp; Rates'!$C$4/100)^(-P11)),"")</f>
      </c>
      <c r="R11" s="179"/>
    </row>
    <row r="12" spans="1:18" ht="12.75">
      <c r="A12" s="17" t="s">
        <v>48</v>
      </c>
      <c r="B12" s="5"/>
      <c r="C12" s="42"/>
      <c r="D12" s="21"/>
      <c r="E12" s="43"/>
      <c r="F12" s="9"/>
      <c r="G12" s="187"/>
      <c r="H12" s="188">
        <f t="shared" si="3"/>
      </c>
      <c r="I12" s="187"/>
      <c r="J12" s="189"/>
      <c r="K12" s="195">
        <f t="shared" si="2"/>
      </c>
      <c r="L12" s="13"/>
      <c r="M12" s="193"/>
      <c r="N12" s="21"/>
      <c r="O12" s="46">
        <f t="shared" si="0"/>
      </c>
      <c r="P12" s="3">
        <f t="shared" si="1"/>
      </c>
      <c r="Q12" s="46">
        <f>IF(ISNUMBER(P12),('Prices &amp; Rates'!$C$4/100)/(1-(1+'Prices &amp; Rates'!$C$4/100)^(-P12)),"")</f>
      </c>
      <c r="R12" s="179"/>
    </row>
    <row r="13" spans="1:18" ht="12.75">
      <c r="A13" s="20"/>
      <c r="B13" s="5"/>
      <c r="C13" s="42"/>
      <c r="D13" s="22"/>
      <c r="E13" s="43"/>
      <c r="F13" s="9"/>
      <c r="G13" s="187"/>
      <c r="H13" s="188">
        <f t="shared" si="3"/>
      </c>
      <c r="I13" s="187"/>
      <c r="J13" s="189"/>
      <c r="K13" s="195">
        <f t="shared" si="2"/>
      </c>
      <c r="L13" s="13"/>
      <c r="M13" s="193"/>
      <c r="N13" s="21"/>
      <c r="O13" s="46">
        <f t="shared" si="0"/>
      </c>
      <c r="P13" s="3">
        <f t="shared" si="1"/>
      </c>
      <c r="Q13" s="46">
        <f>IF(ISNUMBER(P13),('Prices &amp; Rates'!$C$4/100)/(1-(1+'Prices &amp; Rates'!$C$4/100)^(-P13)),"")</f>
      </c>
      <c r="R13" s="179"/>
    </row>
    <row r="14" spans="1:18" ht="12.75">
      <c r="A14" s="20"/>
      <c r="B14" s="5"/>
      <c r="C14" s="42"/>
      <c r="D14" s="21"/>
      <c r="E14" s="43"/>
      <c r="F14" s="9"/>
      <c r="G14" s="187"/>
      <c r="H14" s="188">
        <f t="shared" si="3"/>
      </c>
      <c r="I14" s="187"/>
      <c r="J14" s="189"/>
      <c r="K14" s="195">
        <f t="shared" si="2"/>
      </c>
      <c r="L14" s="13"/>
      <c r="M14" s="193"/>
      <c r="N14" s="21"/>
      <c r="O14" s="46">
        <f t="shared" si="0"/>
      </c>
      <c r="P14" s="3">
        <f t="shared" si="1"/>
      </c>
      <c r="Q14" s="46">
        <f>IF(ISNUMBER(P14),('Prices &amp; Rates'!$C$4/100)/(1-(1+'Prices &amp; Rates'!$C$4/100)^(-P14)),"")</f>
      </c>
      <c r="R14" s="179"/>
    </row>
    <row r="15" spans="1:18" ht="12.75">
      <c r="A15" s="20"/>
      <c r="B15" s="5"/>
      <c r="C15" s="42"/>
      <c r="D15" s="22"/>
      <c r="E15" s="43"/>
      <c r="F15" s="9"/>
      <c r="G15" s="187"/>
      <c r="H15" s="188">
        <f t="shared" si="3"/>
      </c>
      <c r="I15" s="187"/>
      <c r="J15" s="189"/>
      <c r="K15" s="195">
        <f t="shared" si="2"/>
      </c>
      <c r="L15" s="13"/>
      <c r="M15" s="193"/>
      <c r="N15" s="21"/>
      <c r="O15" s="46">
        <f t="shared" si="0"/>
      </c>
      <c r="P15" s="3">
        <f t="shared" si="1"/>
      </c>
      <c r="Q15" s="46">
        <f>IF(ISNUMBER(P15),('Prices &amp; Rates'!$C$4/100)/(1-(1+'Prices &amp; Rates'!$C$4/100)^(-P15)),"")</f>
      </c>
      <c r="R15" s="179"/>
    </row>
    <row r="16" spans="1:18" ht="12.75">
      <c r="A16" s="20"/>
      <c r="B16" s="5"/>
      <c r="C16" s="42"/>
      <c r="D16" s="22"/>
      <c r="E16" s="43"/>
      <c r="F16" s="9"/>
      <c r="G16" s="187"/>
      <c r="H16" s="188">
        <f t="shared" si="3"/>
      </c>
      <c r="I16" s="187"/>
      <c r="J16" s="189"/>
      <c r="K16" s="195">
        <f t="shared" si="2"/>
      </c>
      <c r="L16" s="13"/>
      <c r="M16" s="193"/>
      <c r="N16" s="21"/>
      <c r="O16" s="46">
        <f t="shared" si="0"/>
      </c>
      <c r="P16" s="3">
        <f t="shared" si="1"/>
      </c>
      <c r="Q16" s="46">
        <f>IF(ISNUMBER(P16),('Prices &amp; Rates'!$C$4/100)/(1-(1+'Prices &amp; Rates'!$C$4/100)^(-P16)),"")</f>
      </c>
      <c r="R16" s="179"/>
    </row>
    <row r="17" spans="1:18" ht="12.75">
      <c r="A17" s="20" t="s">
        <v>198</v>
      </c>
      <c r="B17" s="5">
        <v>300</v>
      </c>
      <c r="C17" s="42">
        <v>80</v>
      </c>
      <c r="D17" s="22">
        <v>3</v>
      </c>
      <c r="E17" s="43">
        <v>16</v>
      </c>
      <c r="F17" s="9" t="s">
        <v>17</v>
      </c>
      <c r="G17" s="187">
        <v>2000</v>
      </c>
      <c r="H17" s="188">
        <f t="shared" si="3"/>
        <v>800</v>
      </c>
      <c r="I17" s="187">
        <v>200</v>
      </c>
      <c r="J17" s="189">
        <v>140000</v>
      </c>
      <c r="K17" s="195">
        <f t="shared" si="2"/>
        <v>28000</v>
      </c>
      <c r="L17" s="13">
        <v>1</v>
      </c>
      <c r="M17" s="318">
        <v>0.04</v>
      </c>
      <c r="N17" s="21">
        <v>2.1</v>
      </c>
      <c r="O17" s="46">
        <f t="shared" si="0"/>
        <v>10</v>
      </c>
      <c r="P17" s="3">
        <f t="shared" si="1"/>
        <v>10</v>
      </c>
      <c r="Q17" s="46">
        <f>IF(ISNUMBER(P17),('Prices &amp; Rates'!$C$4/100)/(1-(1+'Prices &amp; Rates'!$C$4/100)^(-P17)),"")</f>
        <v>0.16274539488251152</v>
      </c>
      <c r="R17" s="179">
        <v>20</v>
      </c>
    </row>
    <row r="18" spans="1:18" ht="12.75">
      <c r="A18" s="20"/>
      <c r="B18" s="5"/>
      <c r="C18" s="42"/>
      <c r="D18" s="22"/>
      <c r="E18" s="43"/>
      <c r="F18" s="9"/>
      <c r="G18" s="187"/>
      <c r="H18" s="188">
        <f t="shared" si="3"/>
      </c>
      <c r="I18" s="187"/>
      <c r="J18" s="189"/>
      <c r="K18" s="195">
        <f t="shared" si="2"/>
      </c>
      <c r="L18" s="13"/>
      <c r="M18" s="193"/>
      <c r="N18" s="21"/>
      <c r="O18" s="46">
        <f t="shared" si="0"/>
      </c>
      <c r="P18" s="3">
        <f t="shared" si="1"/>
      </c>
      <c r="Q18" s="46">
        <f>IF(ISNUMBER(P18),('Prices &amp; Rates'!$C$4/100)/(1-(1+'Prices &amp; Rates'!$C$4/100)^(-P18)),"")</f>
      </c>
      <c r="R18" s="179"/>
    </row>
    <row r="19" spans="1:18" ht="12.75">
      <c r="A19" s="20"/>
      <c r="B19" s="5"/>
      <c r="C19" s="42"/>
      <c r="D19" s="22"/>
      <c r="E19" s="43"/>
      <c r="F19" s="9"/>
      <c r="G19" s="187"/>
      <c r="H19" s="188">
        <f t="shared" si="3"/>
      </c>
      <c r="I19" s="187"/>
      <c r="J19" s="189"/>
      <c r="K19" s="195">
        <f t="shared" si="2"/>
      </c>
      <c r="L19" s="13"/>
      <c r="M19" s="193"/>
      <c r="N19" s="21"/>
      <c r="O19" s="46">
        <f t="shared" si="0"/>
      </c>
      <c r="P19" s="3">
        <f t="shared" si="1"/>
      </c>
      <c r="Q19" s="46">
        <f>IF(ISNUMBER(P19),('Prices &amp; Rates'!$C$4/100)/(1-(1+'Prices &amp; Rates'!$C$4/100)^(-P19)),"")</f>
      </c>
      <c r="R19" s="179"/>
    </row>
    <row r="20" spans="1:18" ht="12.75">
      <c r="A20" s="20"/>
      <c r="B20" s="5"/>
      <c r="C20" s="42"/>
      <c r="D20" s="22"/>
      <c r="E20" s="43"/>
      <c r="F20" s="9"/>
      <c r="G20" s="187"/>
      <c r="H20" s="188">
        <f t="shared" si="3"/>
      </c>
      <c r="I20" s="187"/>
      <c r="J20" s="189"/>
      <c r="K20" s="195">
        <f t="shared" si="2"/>
      </c>
      <c r="L20" s="13"/>
      <c r="M20" s="193"/>
      <c r="N20" s="21"/>
      <c r="O20" s="46">
        <f t="shared" si="0"/>
      </c>
      <c r="P20" s="3">
        <f t="shared" si="1"/>
      </c>
      <c r="Q20" s="46">
        <f>IF(ISNUMBER(P20),('Prices &amp; Rates'!$C$4/100)/(1-(1+'Prices &amp; Rates'!$C$4/100)^(-P20)),"")</f>
      </c>
      <c r="R20" s="179"/>
    </row>
    <row r="21" spans="1:18" ht="12.75">
      <c r="A21" s="20"/>
      <c r="B21" s="5"/>
      <c r="C21" s="42"/>
      <c r="D21" s="22"/>
      <c r="E21" s="43"/>
      <c r="F21" s="9"/>
      <c r="G21" s="187"/>
      <c r="H21" s="188">
        <f t="shared" si="3"/>
      </c>
      <c r="I21" s="187"/>
      <c r="J21" s="189"/>
      <c r="K21" s="195">
        <f t="shared" si="2"/>
      </c>
      <c r="L21" s="13"/>
      <c r="M21" s="193"/>
      <c r="N21" s="21"/>
      <c r="O21" s="46">
        <f t="shared" si="0"/>
      </c>
      <c r="P21" s="3">
        <f t="shared" si="1"/>
      </c>
      <c r="Q21" s="46">
        <f>IF(ISNUMBER(P21),('Prices &amp; Rates'!$C$4/100)/(1-(1+'Prices &amp; Rates'!$C$4/100)^(-P21)),"")</f>
      </c>
      <c r="R21" s="179"/>
    </row>
    <row r="22" spans="1:18" ht="12.75">
      <c r="A22" s="20"/>
      <c r="B22" s="5"/>
      <c r="C22" s="42"/>
      <c r="D22" s="22"/>
      <c r="E22" s="43"/>
      <c r="F22" s="9"/>
      <c r="G22" s="187"/>
      <c r="H22" s="188">
        <f t="shared" si="3"/>
      </c>
      <c r="I22" s="187"/>
      <c r="J22" s="189"/>
      <c r="K22" s="195">
        <f t="shared" si="2"/>
      </c>
      <c r="L22" s="13"/>
      <c r="M22" s="193"/>
      <c r="N22" s="21"/>
      <c r="O22" s="46">
        <f t="shared" si="0"/>
      </c>
      <c r="P22" s="3">
        <f t="shared" si="1"/>
      </c>
      <c r="Q22" s="46">
        <f>IF(ISNUMBER(P22),('Prices &amp; Rates'!$C$4/100)/(1-(1+'Prices &amp; Rates'!$C$4/100)^(-P22)),"")</f>
      </c>
      <c r="R22" s="179"/>
    </row>
    <row r="23" spans="1:18" ht="12.75">
      <c r="A23" s="20"/>
      <c r="B23" s="5"/>
      <c r="C23" s="42"/>
      <c r="D23" s="22"/>
      <c r="E23" s="43"/>
      <c r="F23" s="9"/>
      <c r="G23" s="187"/>
      <c r="H23" s="188">
        <f t="shared" si="3"/>
      </c>
      <c r="I23" s="187"/>
      <c r="J23" s="189"/>
      <c r="K23" s="195">
        <f t="shared" si="2"/>
      </c>
      <c r="L23" s="13"/>
      <c r="M23" s="193"/>
      <c r="N23" s="21"/>
      <c r="O23" s="46">
        <f t="shared" si="0"/>
      </c>
      <c r="P23" s="3">
        <f t="shared" si="1"/>
      </c>
      <c r="Q23" s="46">
        <f>IF(ISNUMBER(P23),('Prices &amp; Rates'!$C$4/100)/(1-(1+'Prices &amp; Rates'!$C$4/100)^(-P23)),"")</f>
      </c>
      <c r="R23" s="179"/>
    </row>
    <row r="24" spans="1:18" ht="12.75">
      <c r="A24" s="20"/>
      <c r="B24" s="5"/>
      <c r="C24" s="42"/>
      <c r="D24" s="22"/>
      <c r="E24" s="43"/>
      <c r="F24" s="9"/>
      <c r="G24" s="187"/>
      <c r="H24" s="188">
        <f t="shared" si="3"/>
      </c>
      <c r="I24" s="187"/>
      <c r="J24" s="189"/>
      <c r="K24" s="195">
        <f t="shared" si="2"/>
      </c>
      <c r="L24" s="13"/>
      <c r="M24" s="193"/>
      <c r="N24" s="21"/>
      <c r="O24" s="46">
        <f t="shared" si="0"/>
      </c>
      <c r="P24" s="3">
        <f t="shared" si="1"/>
      </c>
      <c r="Q24" s="46">
        <f>IF(ISNUMBER(P24),('Prices &amp; Rates'!$C$4/100)/(1-(1+'Prices &amp; Rates'!$C$4/100)^(-P24)),"")</f>
      </c>
      <c r="R24" s="179"/>
    </row>
    <row r="25" spans="1:18" ht="12.75">
      <c r="A25" s="17" t="s">
        <v>25</v>
      </c>
      <c r="B25" s="5"/>
      <c r="C25" s="42"/>
      <c r="D25" s="22"/>
      <c r="E25" s="43"/>
      <c r="F25" s="9"/>
      <c r="G25" s="187"/>
      <c r="H25" s="188">
        <f t="shared" si="3"/>
      </c>
      <c r="I25" s="187"/>
      <c r="J25" s="189"/>
      <c r="K25" s="195">
        <f t="shared" si="2"/>
      </c>
      <c r="L25" s="13"/>
      <c r="M25" s="193"/>
      <c r="N25" s="21"/>
      <c r="O25" s="46">
        <f t="shared" si="0"/>
      </c>
      <c r="P25" s="3">
        <f t="shared" si="1"/>
      </c>
      <c r="Q25" s="46">
        <f>IF(ISNUMBER(P25),('Prices &amp; Rates'!$C$4/100)/(1-(1+'Prices &amp; Rates'!$C$4/100)^(-P25)),"")</f>
      </c>
      <c r="R25" s="179"/>
    </row>
    <row r="26" spans="1:18" ht="12.75">
      <c r="A26" s="20" t="s">
        <v>26</v>
      </c>
      <c r="B26" s="5"/>
      <c r="C26" s="42">
        <v>85</v>
      </c>
      <c r="D26" s="22">
        <v>4.5</v>
      </c>
      <c r="E26" s="43">
        <v>21</v>
      </c>
      <c r="F26" s="9"/>
      <c r="G26" s="187">
        <v>2000</v>
      </c>
      <c r="H26" s="188">
        <f t="shared" si="3"/>
        <v>800</v>
      </c>
      <c r="I26" s="187">
        <v>65</v>
      </c>
      <c r="J26" s="189">
        <v>29500</v>
      </c>
      <c r="K26" s="195">
        <f t="shared" si="2"/>
        <v>5900</v>
      </c>
      <c r="L26" s="13">
        <v>1</v>
      </c>
      <c r="M26" s="193">
        <v>0.18</v>
      </c>
      <c r="N26" s="21">
        <v>1.7</v>
      </c>
      <c r="O26" s="46">
        <f t="shared" si="0"/>
        <v>30.76923076923077</v>
      </c>
      <c r="P26" s="3">
        <f t="shared" si="1"/>
        <v>20</v>
      </c>
      <c r="Q26" s="46">
        <f>IF(ISNUMBER(P26),('Prices &amp; Rates'!$C$4/100)/(1-(1+'Prices &amp; Rates'!$C$4/100)^(-P26)),"")</f>
        <v>0.11745962477254576</v>
      </c>
      <c r="R26" s="179">
        <v>20</v>
      </c>
    </row>
    <row r="27" spans="1:18" ht="12.75">
      <c r="A27" s="20" t="s">
        <v>27</v>
      </c>
      <c r="B27" s="5"/>
      <c r="C27" s="42">
        <v>85</v>
      </c>
      <c r="D27" s="22">
        <v>5.5</v>
      </c>
      <c r="E27" s="43">
        <v>15</v>
      </c>
      <c r="F27" s="9"/>
      <c r="G27" s="187">
        <v>2000</v>
      </c>
      <c r="H27" s="188">
        <f t="shared" si="3"/>
        <v>800</v>
      </c>
      <c r="I27" s="187">
        <v>85</v>
      </c>
      <c r="J27" s="189">
        <v>9600</v>
      </c>
      <c r="K27" s="195">
        <f t="shared" si="2"/>
        <v>1920</v>
      </c>
      <c r="L27" s="13">
        <v>1</v>
      </c>
      <c r="M27" s="193">
        <v>0.27</v>
      </c>
      <c r="N27" s="21">
        <v>1.4</v>
      </c>
      <c r="O27" s="46">
        <f t="shared" si="0"/>
        <v>23.529411764705884</v>
      </c>
      <c r="P27" s="3">
        <f t="shared" si="1"/>
        <v>20</v>
      </c>
      <c r="Q27" s="46">
        <f>IF(ISNUMBER(P27),('Prices &amp; Rates'!$C$4/100)/(1-(1+'Prices &amp; Rates'!$C$4/100)^(-P27)),"")</f>
        <v>0.11745962477254576</v>
      </c>
      <c r="R27" s="179">
        <v>20</v>
      </c>
    </row>
    <row r="28" spans="1:18" ht="12.75">
      <c r="A28" s="20" t="s">
        <v>28</v>
      </c>
      <c r="B28" s="5"/>
      <c r="C28" s="42">
        <v>85</v>
      </c>
      <c r="D28" s="22">
        <v>5</v>
      </c>
      <c r="E28" s="43">
        <v>16</v>
      </c>
      <c r="F28" s="9"/>
      <c r="G28" s="187">
        <v>2000</v>
      </c>
      <c r="H28" s="188">
        <f t="shared" si="3"/>
        <v>800</v>
      </c>
      <c r="I28" s="187">
        <v>50</v>
      </c>
      <c r="J28" s="189">
        <v>6900</v>
      </c>
      <c r="K28" s="195">
        <f t="shared" si="2"/>
        <v>1380</v>
      </c>
      <c r="L28" s="13">
        <v>1</v>
      </c>
      <c r="M28" s="193">
        <v>0.27</v>
      </c>
      <c r="N28" s="21">
        <v>1.4</v>
      </c>
      <c r="O28" s="46">
        <f t="shared" si="0"/>
        <v>40</v>
      </c>
      <c r="P28" s="3">
        <f t="shared" si="1"/>
        <v>20</v>
      </c>
      <c r="Q28" s="46">
        <f>IF(ISNUMBER(P28),('Prices &amp; Rates'!$C$4/100)/(1-(1+'Prices &amp; Rates'!$C$4/100)^(-P28)),"")</f>
        <v>0.11745962477254576</v>
      </c>
      <c r="R28" s="179">
        <v>20</v>
      </c>
    </row>
    <row r="29" spans="1:18" ht="12.75">
      <c r="A29" s="20" t="s">
        <v>184</v>
      </c>
      <c r="B29" s="5"/>
      <c r="C29" s="42">
        <v>70</v>
      </c>
      <c r="D29" s="22">
        <v>2.5</v>
      </c>
      <c r="E29" s="43">
        <v>15</v>
      </c>
      <c r="F29" s="9"/>
      <c r="G29" s="187">
        <v>4800</v>
      </c>
      <c r="H29" s="188">
        <f t="shared" si="3"/>
        <v>1920</v>
      </c>
      <c r="I29" s="187">
        <v>100</v>
      </c>
      <c r="J29" s="189">
        <v>11500</v>
      </c>
      <c r="K29" s="195">
        <f t="shared" si="2"/>
        <v>2300</v>
      </c>
      <c r="L29" s="13">
        <v>1</v>
      </c>
      <c r="M29" s="193">
        <v>0.27</v>
      </c>
      <c r="N29" s="21">
        <v>1.4</v>
      </c>
      <c r="O29" s="46">
        <f t="shared" si="0"/>
        <v>48</v>
      </c>
      <c r="P29" s="3">
        <f t="shared" si="1"/>
        <v>20</v>
      </c>
      <c r="Q29" s="46">
        <f>IF(ISNUMBER(P29),('Prices &amp; Rates'!$C$4/100)/(1-(1+'Prices &amp; Rates'!$C$4/100)^(-P29)),"")</f>
        <v>0.11745962477254576</v>
      </c>
      <c r="R29" s="179">
        <v>20</v>
      </c>
    </row>
    <row r="30" spans="1:18" ht="12.75">
      <c r="A30" s="20" t="s">
        <v>29</v>
      </c>
      <c r="B30" s="5"/>
      <c r="C30" s="42">
        <v>80</v>
      </c>
      <c r="D30" s="22">
        <v>4.5</v>
      </c>
      <c r="E30" s="43">
        <v>9</v>
      </c>
      <c r="F30" s="9"/>
      <c r="G30" s="187">
        <v>2000</v>
      </c>
      <c r="H30" s="188">
        <f t="shared" si="3"/>
        <v>800</v>
      </c>
      <c r="I30" s="187">
        <v>250</v>
      </c>
      <c r="J30" s="189">
        <v>10500</v>
      </c>
      <c r="K30" s="195">
        <f t="shared" si="2"/>
        <v>2100</v>
      </c>
      <c r="L30" s="13">
        <v>1</v>
      </c>
      <c r="M30" s="193">
        <v>0.29</v>
      </c>
      <c r="N30" s="21">
        <v>1.8</v>
      </c>
      <c r="O30" s="46">
        <f t="shared" si="0"/>
        <v>8</v>
      </c>
      <c r="P30" s="3">
        <f t="shared" si="1"/>
        <v>8</v>
      </c>
      <c r="Q30" s="46">
        <f>IF(ISNUMBER(P30),('Prices &amp; Rates'!$C$4/100)/(1-(1+'Prices &amp; Rates'!$C$4/100)^(-P30)),"")</f>
        <v>0.18744401757481335</v>
      </c>
      <c r="R30" s="179">
        <v>20</v>
      </c>
    </row>
    <row r="31" spans="1:18" ht="12.75">
      <c r="A31" s="20"/>
      <c r="B31" s="5"/>
      <c r="C31" s="42"/>
      <c r="D31" s="22"/>
      <c r="E31" s="43"/>
      <c r="F31" s="9"/>
      <c r="G31" s="187"/>
      <c r="H31" s="188">
        <f t="shared" si="3"/>
      </c>
      <c r="I31" s="187"/>
      <c r="J31" s="189"/>
      <c r="K31" s="195">
        <f t="shared" si="2"/>
      </c>
      <c r="L31" s="13"/>
      <c r="M31" s="193"/>
      <c r="N31" s="21"/>
      <c r="O31" s="46">
        <f t="shared" si="0"/>
      </c>
      <c r="P31" s="3">
        <f t="shared" si="1"/>
      </c>
      <c r="Q31" s="46">
        <f>IF(ISNUMBER(P31),('Prices &amp; Rates'!$C$4/100)/(1-(1+'Prices &amp; Rates'!$C$4/100)^(-P31)),"")</f>
      </c>
      <c r="R31" s="179"/>
    </row>
    <row r="32" spans="1:18" ht="12.75">
      <c r="A32" s="20"/>
      <c r="B32" s="5"/>
      <c r="C32" s="42"/>
      <c r="D32" s="22"/>
      <c r="E32" s="43"/>
      <c r="F32" s="9"/>
      <c r="G32" s="187"/>
      <c r="H32" s="188">
        <f t="shared" si="3"/>
      </c>
      <c r="I32" s="187"/>
      <c r="J32" s="189"/>
      <c r="K32" s="195">
        <f t="shared" si="2"/>
      </c>
      <c r="L32" s="13"/>
      <c r="M32" s="193"/>
      <c r="N32" s="21"/>
      <c r="O32" s="46">
        <f t="shared" si="0"/>
      </c>
      <c r="P32" s="3">
        <f t="shared" si="1"/>
      </c>
      <c r="Q32" s="46">
        <f>IF(ISNUMBER(P32),('Prices &amp; Rates'!$C$4/100)/(1-(1+'Prices &amp; Rates'!$C$4/100)^(-P32)),"")</f>
      </c>
      <c r="R32" s="179"/>
    </row>
    <row r="33" spans="1:18" ht="12.75">
      <c r="A33" s="20" t="s">
        <v>30</v>
      </c>
      <c r="B33" s="5"/>
      <c r="C33" s="42">
        <v>80</v>
      </c>
      <c r="D33" s="22">
        <v>4</v>
      </c>
      <c r="E33" s="44">
        <v>16</v>
      </c>
      <c r="F33" s="9"/>
      <c r="G33" s="187">
        <v>2000</v>
      </c>
      <c r="H33" s="188">
        <f t="shared" si="3"/>
        <v>800</v>
      </c>
      <c r="I33" s="187">
        <v>100</v>
      </c>
      <c r="J33" s="189">
        <v>5900</v>
      </c>
      <c r="K33" s="195">
        <f t="shared" si="2"/>
        <v>1180</v>
      </c>
      <c r="L33" s="13">
        <v>1</v>
      </c>
      <c r="M33" s="193">
        <v>0.17</v>
      </c>
      <c r="N33" s="21">
        <v>2.2</v>
      </c>
      <c r="O33" s="46">
        <f t="shared" si="0"/>
        <v>20</v>
      </c>
      <c r="P33" s="3">
        <f t="shared" si="1"/>
        <v>20</v>
      </c>
      <c r="Q33" s="46">
        <f>IF(ISNUMBER(P33),('Prices &amp; Rates'!$C$4/100)/(1-(1+'Prices &amp; Rates'!$C$4/100)^(-P33)),"")</f>
        <v>0.11745962477254576</v>
      </c>
      <c r="R33" s="179">
        <v>20</v>
      </c>
    </row>
    <row r="34" spans="1:18" ht="12.75">
      <c r="A34" s="20" t="s">
        <v>157</v>
      </c>
      <c r="B34" s="5"/>
      <c r="C34" s="42">
        <v>85</v>
      </c>
      <c r="D34" s="21">
        <v>3.5</v>
      </c>
      <c r="E34" s="43">
        <v>15</v>
      </c>
      <c r="F34" s="9"/>
      <c r="G34" s="187">
        <v>2000</v>
      </c>
      <c r="H34" s="188">
        <f t="shared" si="3"/>
        <v>800</v>
      </c>
      <c r="I34" s="187">
        <v>85</v>
      </c>
      <c r="J34" s="189">
        <f>12800+9600</f>
        <v>22400</v>
      </c>
      <c r="K34" s="195">
        <f t="shared" si="2"/>
        <v>4480</v>
      </c>
      <c r="L34" s="13">
        <v>1</v>
      </c>
      <c r="M34" s="193">
        <v>0.27</v>
      </c>
      <c r="N34" s="21">
        <v>1.4</v>
      </c>
      <c r="O34" s="46">
        <f t="shared" si="0"/>
        <v>23.529411764705884</v>
      </c>
      <c r="P34" s="3">
        <f t="shared" si="1"/>
        <v>20</v>
      </c>
      <c r="Q34" s="46">
        <f>IF(ISNUMBER(P34),('Prices &amp; Rates'!$C$4/100)/(1-(1+'Prices &amp; Rates'!$C$4/100)^(-P34)),"")</f>
        <v>0.11745962477254576</v>
      </c>
      <c r="R34" s="179">
        <v>20</v>
      </c>
    </row>
    <row r="35" spans="1:18" ht="12.75">
      <c r="A35" s="17" t="s">
        <v>31</v>
      </c>
      <c r="B35" s="5"/>
      <c r="C35" s="42"/>
      <c r="D35" s="21"/>
      <c r="E35" s="43"/>
      <c r="F35" s="9"/>
      <c r="G35" s="187"/>
      <c r="H35" s="188">
        <f t="shared" si="3"/>
      </c>
      <c r="I35" s="187"/>
      <c r="J35" s="189"/>
      <c r="K35" s="195">
        <f t="shared" si="2"/>
      </c>
      <c r="L35" s="13"/>
      <c r="M35" s="193"/>
      <c r="N35" s="21"/>
      <c r="O35" s="46">
        <f t="shared" si="0"/>
      </c>
      <c r="P35" s="3">
        <f t="shared" si="1"/>
      </c>
      <c r="Q35" s="46">
        <f>IF(ISNUMBER(P35),('Prices &amp; Rates'!$C$4/100)/(1-(1+'Prices &amp; Rates'!$C$4/100)^(-P35)),"")</f>
      </c>
      <c r="R35" s="179"/>
    </row>
    <row r="36" spans="1:18" ht="12.75">
      <c r="A36" s="20" t="s">
        <v>156</v>
      </c>
      <c r="B36" s="5"/>
      <c r="C36" s="42">
        <v>65</v>
      </c>
      <c r="D36" s="22">
        <v>3</v>
      </c>
      <c r="E36" s="43">
        <v>12</v>
      </c>
      <c r="F36" s="9"/>
      <c r="G36" s="187">
        <v>1200</v>
      </c>
      <c r="H36" s="188">
        <f t="shared" si="3"/>
        <v>480</v>
      </c>
      <c r="I36" s="187">
        <v>75</v>
      </c>
      <c r="J36" s="189">
        <v>12500</v>
      </c>
      <c r="K36" s="195">
        <f t="shared" si="2"/>
        <v>2500</v>
      </c>
      <c r="L36" s="13">
        <v>1</v>
      </c>
      <c r="M36" s="193">
        <v>0.32</v>
      </c>
      <c r="N36" s="21">
        <v>2.1</v>
      </c>
      <c r="O36" s="46">
        <f t="shared" si="0"/>
        <v>16</v>
      </c>
      <c r="P36" s="3">
        <f t="shared" si="1"/>
        <v>16</v>
      </c>
      <c r="Q36" s="46">
        <f>IF(ISNUMBER(P36),('Prices &amp; Rates'!$C$4/100)/(1-(1+'Prices &amp; Rates'!$C$4/100)^(-P36)),"")</f>
        <v>0.12781662070326982</v>
      </c>
      <c r="R36" s="179">
        <v>20</v>
      </c>
    </row>
    <row r="37" spans="1:18" ht="12.75">
      <c r="A37" s="20" t="s">
        <v>32</v>
      </c>
      <c r="B37" s="5"/>
      <c r="C37" s="42">
        <v>60</v>
      </c>
      <c r="D37" s="22">
        <v>4.5</v>
      </c>
      <c r="E37" s="45">
        <v>10</v>
      </c>
      <c r="F37" s="9"/>
      <c r="G37" s="187">
        <v>1200</v>
      </c>
      <c r="H37" s="188">
        <f t="shared" si="3"/>
        <v>480</v>
      </c>
      <c r="I37" s="187">
        <v>150</v>
      </c>
      <c r="J37" s="189">
        <v>15000</v>
      </c>
      <c r="K37" s="195">
        <f t="shared" si="2"/>
        <v>3000</v>
      </c>
      <c r="L37" s="13">
        <v>1</v>
      </c>
      <c r="M37" s="193">
        <v>0.32</v>
      </c>
      <c r="N37" s="21">
        <v>2.1</v>
      </c>
      <c r="O37" s="46">
        <f t="shared" si="0"/>
        <v>8</v>
      </c>
      <c r="P37" s="3">
        <f t="shared" si="1"/>
        <v>8</v>
      </c>
      <c r="Q37" s="46">
        <f>IF(ISNUMBER(P37),('Prices &amp; Rates'!$C$4/100)/(1-(1+'Prices &amp; Rates'!$C$4/100)^(-P37)),"")</f>
        <v>0.18744401757481335</v>
      </c>
      <c r="R37" s="179">
        <v>20</v>
      </c>
    </row>
    <row r="38" spans="1:18" ht="12.75">
      <c r="A38" s="20"/>
      <c r="B38" s="5"/>
      <c r="C38" s="42"/>
      <c r="D38" s="22"/>
      <c r="E38" s="43"/>
      <c r="F38" s="9"/>
      <c r="G38" s="187"/>
      <c r="H38" s="188">
        <f t="shared" si="3"/>
      </c>
      <c r="I38" s="187"/>
      <c r="J38" s="189"/>
      <c r="K38" s="195">
        <f t="shared" si="2"/>
      </c>
      <c r="L38" s="13"/>
      <c r="M38" s="193"/>
      <c r="N38" s="21"/>
      <c r="O38" s="46">
        <f t="shared" si="0"/>
      </c>
      <c r="P38" s="3">
        <f t="shared" si="1"/>
      </c>
      <c r="Q38" s="46">
        <f>IF(ISNUMBER(P38),('Prices &amp; Rates'!$C$4/100)/(1-(1+'Prices &amp; Rates'!$C$4/100)^(-P38)),"")</f>
      </c>
      <c r="R38" s="179"/>
    </row>
    <row r="39" spans="1:18" ht="12.75">
      <c r="A39" s="17" t="s">
        <v>33</v>
      </c>
      <c r="B39" s="5"/>
      <c r="C39" s="42"/>
      <c r="D39" s="22"/>
      <c r="E39" s="43"/>
      <c r="F39" s="9"/>
      <c r="G39" s="187"/>
      <c r="H39" s="188">
        <f t="shared" si="3"/>
      </c>
      <c r="I39" s="187"/>
      <c r="J39" s="189"/>
      <c r="K39" s="195">
        <f t="shared" si="2"/>
      </c>
      <c r="L39" s="13"/>
      <c r="M39" s="193"/>
      <c r="N39" s="21"/>
      <c r="O39" s="46">
        <f t="shared" si="0"/>
      </c>
      <c r="P39" s="3">
        <f t="shared" si="1"/>
      </c>
      <c r="Q39" s="46">
        <f>IF(ISNUMBER(P39),('Prices &amp; Rates'!$C$4/100)/(1-(1+'Prices &amp; Rates'!$C$4/100)^(-P39)),"")</f>
      </c>
      <c r="R39" s="179"/>
    </row>
    <row r="40" spans="1:18" ht="12.75">
      <c r="A40" s="20" t="s">
        <v>34</v>
      </c>
      <c r="B40" s="5"/>
      <c r="C40" s="42">
        <v>70</v>
      </c>
      <c r="D40" s="22">
        <v>4.5</v>
      </c>
      <c r="E40" s="43">
        <v>40</v>
      </c>
      <c r="F40" s="9"/>
      <c r="G40" s="187">
        <v>2000</v>
      </c>
      <c r="H40" s="188">
        <f t="shared" si="3"/>
        <v>800</v>
      </c>
      <c r="I40" s="187">
        <v>165</v>
      </c>
      <c r="J40" s="189">
        <v>5200</v>
      </c>
      <c r="K40" s="195">
        <f t="shared" si="2"/>
        <v>1040</v>
      </c>
      <c r="L40" s="13">
        <v>1</v>
      </c>
      <c r="M40" s="193">
        <v>0.63</v>
      </c>
      <c r="N40" s="21">
        <v>1.3</v>
      </c>
      <c r="O40" s="46">
        <f t="shared" si="0"/>
        <v>12.121212121212121</v>
      </c>
      <c r="P40" s="3">
        <f t="shared" si="1"/>
        <v>12.121212121212121</v>
      </c>
      <c r="Q40" s="46">
        <f>IF(ISNUMBER(P40),('Prices &amp; Rates'!$C$4/100)/(1-(1+'Prices &amp; Rates'!$C$4/100)^(-P40)),"")</f>
        <v>0.1459792079719865</v>
      </c>
      <c r="R40" s="179">
        <v>20</v>
      </c>
    </row>
    <row r="41" spans="1:18" ht="12.75">
      <c r="A41" s="20"/>
      <c r="B41" s="5"/>
      <c r="C41" s="42"/>
      <c r="D41" s="22"/>
      <c r="E41" s="43"/>
      <c r="F41" s="9"/>
      <c r="G41" s="187"/>
      <c r="H41" s="188">
        <f t="shared" si="3"/>
      </c>
      <c r="I41" s="187"/>
      <c r="J41" s="189"/>
      <c r="K41" s="195">
        <f t="shared" si="2"/>
      </c>
      <c r="L41" s="13"/>
      <c r="M41" s="193"/>
      <c r="N41" s="21"/>
      <c r="O41" s="46">
        <f t="shared" si="0"/>
      </c>
      <c r="P41" s="3">
        <f t="shared" si="1"/>
      </c>
      <c r="Q41" s="46">
        <f>IF(ISNUMBER(P41),('Prices &amp; Rates'!$C$4/100)/(1-(1+'Prices &amp; Rates'!$C$4/100)^(-P41)),"")</f>
      </c>
      <c r="R41" s="179"/>
    </row>
    <row r="42" spans="1:18" ht="12.75">
      <c r="A42" s="20"/>
      <c r="B42" s="5"/>
      <c r="C42" s="42"/>
      <c r="D42" s="22"/>
      <c r="E42" s="43"/>
      <c r="F42" s="9"/>
      <c r="G42" s="187"/>
      <c r="H42" s="188">
        <f t="shared" si="3"/>
      </c>
      <c r="I42" s="187"/>
      <c r="J42" s="189"/>
      <c r="K42" s="195">
        <f t="shared" si="2"/>
      </c>
      <c r="L42" s="13"/>
      <c r="M42" s="193"/>
      <c r="N42" s="21"/>
      <c r="O42" s="46">
        <f t="shared" si="0"/>
      </c>
      <c r="P42" s="3">
        <f t="shared" si="1"/>
      </c>
      <c r="Q42" s="46">
        <f>IF(ISNUMBER(P42),('Prices &amp; Rates'!$C$4/100)/(1-(1+'Prices &amp; Rates'!$C$4/100)^(-P42)),"")</f>
      </c>
      <c r="R42" s="179"/>
    </row>
    <row r="43" spans="1:18" ht="12.75">
      <c r="A43" s="20" t="s">
        <v>69</v>
      </c>
      <c r="B43" s="5"/>
      <c r="C43" s="42">
        <v>65</v>
      </c>
      <c r="D43" s="22">
        <v>6.5</v>
      </c>
      <c r="E43" s="43">
        <v>50</v>
      </c>
      <c r="F43" s="9"/>
      <c r="G43" s="187">
        <v>1500</v>
      </c>
      <c r="H43" s="188">
        <f t="shared" si="3"/>
        <v>600</v>
      </c>
      <c r="I43" s="187">
        <v>200</v>
      </c>
      <c r="J43" s="189">
        <v>5500</v>
      </c>
      <c r="K43" s="195">
        <f t="shared" si="2"/>
        <v>1100</v>
      </c>
      <c r="L43" s="13">
        <v>1</v>
      </c>
      <c r="M43" s="193">
        <v>0.41</v>
      </c>
      <c r="N43" s="21">
        <v>1.3</v>
      </c>
      <c r="O43" s="46">
        <f t="shared" si="0"/>
        <v>7.5</v>
      </c>
      <c r="P43" s="3">
        <f t="shared" si="1"/>
        <v>7.5</v>
      </c>
      <c r="Q43" s="46">
        <f>IF(ISNUMBER(P43),('Prices &amp; Rates'!$C$4/100)/(1-(1+'Prices &amp; Rates'!$C$4/100)^(-P43)),"")</f>
        <v>0.19580088097494397</v>
      </c>
      <c r="R43" s="179">
        <v>20</v>
      </c>
    </row>
    <row r="44" spans="1:18" ht="12.75">
      <c r="A44" s="20"/>
      <c r="B44" s="5"/>
      <c r="C44" s="42"/>
      <c r="D44" s="22"/>
      <c r="E44" s="43"/>
      <c r="F44" s="9"/>
      <c r="G44" s="187"/>
      <c r="H44" s="188">
        <f t="shared" si="3"/>
      </c>
      <c r="I44" s="187"/>
      <c r="J44" s="189"/>
      <c r="K44" s="195">
        <f t="shared" si="2"/>
      </c>
      <c r="L44" s="13"/>
      <c r="M44" s="193"/>
      <c r="N44" s="21"/>
      <c r="O44" s="46">
        <f t="shared" si="0"/>
      </c>
      <c r="P44" s="3">
        <f t="shared" si="1"/>
      </c>
      <c r="Q44" s="46">
        <f>IF(ISNUMBER(P44),('Prices &amp; Rates'!$C$4/100)/(1-(1+'Prices &amp; Rates'!$C$4/100)^(-P44)),"")</f>
      </c>
      <c r="R44" s="179"/>
    </row>
    <row r="45" spans="1:18" ht="12.75">
      <c r="A45" s="20"/>
      <c r="B45" s="5"/>
      <c r="C45" s="42"/>
      <c r="D45" s="22"/>
      <c r="E45" s="43"/>
      <c r="F45" s="9"/>
      <c r="G45" s="187"/>
      <c r="H45" s="188">
        <f t="shared" si="3"/>
      </c>
      <c r="I45" s="187"/>
      <c r="J45" s="189"/>
      <c r="K45" s="195">
        <f t="shared" si="2"/>
      </c>
      <c r="L45" s="13"/>
      <c r="M45" s="193"/>
      <c r="N45" s="21"/>
      <c r="O45" s="46">
        <f t="shared" si="0"/>
      </c>
      <c r="P45" s="3">
        <f t="shared" si="1"/>
      </c>
      <c r="Q45" s="46">
        <f>IF(ISNUMBER(P45),('Prices &amp; Rates'!$C$4/100)/(1-(1+'Prices &amp; Rates'!$C$4/100)^(-P45)),"")</f>
      </c>
      <c r="R45" s="179"/>
    </row>
    <row r="46" spans="1:18" ht="12.75">
      <c r="A46" s="20"/>
      <c r="B46" s="5"/>
      <c r="C46" s="42"/>
      <c r="D46" s="22"/>
      <c r="E46" s="43"/>
      <c r="F46" s="9"/>
      <c r="G46" s="187"/>
      <c r="H46" s="188">
        <f t="shared" si="3"/>
      </c>
      <c r="I46" s="187"/>
      <c r="J46" s="189"/>
      <c r="K46" s="195">
        <f t="shared" si="2"/>
      </c>
      <c r="L46" s="13"/>
      <c r="M46" s="193"/>
      <c r="N46" s="21"/>
      <c r="O46" s="46">
        <f t="shared" si="0"/>
      </c>
      <c r="P46" s="3">
        <f t="shared" si="1"/>
      </c>
      <c r="Q46" s="46">
        <f>IF(ISNUMBER(P46),('Prices &amp; Rates'!$C$4/100)/(1-(1+'Prices &amp; Rates'!$C$4/100)^(-P46)),"")</f>
      </c>
      <c r="R46" s="179"/>
    </row>
    <row r="47" spans="1:18" ht="12.75">
      <c r="A47" s="20"/>
      <c r="B47" s="5"/>
      <c r="C47" s="42"/>
      <c r="D47" s="22"/>
      <c r="E47" s="43"/>
      <c r="F47" s="9"/>
      <c r="G47" s="187"/>
      <c r="H47" s="188">
        <f t="shared" si="3"/>
      </c>
      <c r="I47" s="187"/>
      <c r="J47" s="189"/>
      <c r="K47" s="195">
        <f t="shared" si="2"/>
      </c>
      <c r="L47" s="13"/>
      <c r="M47" s="193"/>
      <c r="N47" s="21"/>
      <c r="O47" s="46">
        <f t="shared" si="0"/>
      </c>
      <c r="P47" s="3">
        <f t="shared" si="1"/>
      </c>
      <c r="Q47" s="46">
        <f>IF(ISNUMBER(P47),('Prices &amp; Rates'!$C$4/100)/(1-(1+'Prices &amp; Rates'!$C$4/100)^(-P47)),"")</f>
      </c>
      <c r="R47" s="179"/>
    </row>
    <row r="48" spans="1:18" ht="12.75">
      <c r="A48" s="20"/>
      <c r="B48" s="5"/>
      <c r="C48" s="42"/>
      <c r="D48" s="22"/>
      <c r="E48" s="43"/>
      <c r="F48" s="9"/>
      <c r="G48" s="187"/>
      <c r="H48" s="188">
        <f t="shared" si="3"/>
      </c>
      <c r="I48" s="187"/>
      <c r="J48" s="189"/>
      <c r="K48" s="195">
        <f t="shared" si="2"/>
      </c>
      <c r="L48" s="13"/>
      <c r="M48" s="193"/>
      <c r="N48" s="21"/>
      <c r="O48" s="46">
        <f t="shared" si="0"/>
      </c>
      <c r="P48" s="3">
        <f t="shared" si="1"/>
      </c>
      <c r="Q48" s="46">
        <f>IF(ISNUMBER(P48),('Prices &amp; Rates'!$C$4/100)/(1-(1+'Prices &amp; Rates'!$C$4/100)^(-P48)),"")</f>
      </c>
      <c r="R48" s="179"/>
    </row>
    <row r="49" spans="1:18" ht="12.75">
      <c r="A49" s="20" t="s">
        <v>158</v>
      </c>
      <c r="B49" s="5"/>
      <c r="C49" s="42">
        <v>85</v>
      </c>
      <c r="D49" s="22">
        <v>6</v>
      </c>
      <c r="E49" s="43">
        <v>16</v>
      </c>
      <c r="F49" s="9"/>
      <c r="G49" s="187">
        <v>2000</v>
      </c>
      <c r="H49" s="188">
        <f t="shared" si="3"/>
        <v>800</v>
      </c>
      <c r="I49" s="187">
        <v>150</v>
      </c>
      <c r="J49" s="189">
        <v>9900</v>
      </c>
      <c r="K49" s="195">
        <f t="shared" si="2"/>
        <v>1980</v>
      </c>
      <c r="L49" s="13">
        <v>1</v>
      </c>
      <c r="M49" s="193">
        <v>0.16</v>
      </c>
      <c r="N49" s="21">
        <v>1.3</v>
      </c>
      <c r="O49" s="46">
        <f t="shared" si="0"/>
        <v>13.333333333333334</v>
      </c>
      <c r="P49" s="3">
        <f t="shared" si="1"/>
        <v>13.333333333333334</v>
      </c>
      <c r="Q49" s="46">
        <f>IF(ISNUMBER(P49),('Prices &amp; Rates'!$C$4/100)/(1-(1+'Prices &amp; Rates'!$C$4/100)^(-P49)),"")</f>
        <v>0.13900595769842797</v>
      </c>
      <c r="R49" s="179">
        <v>20</v>
      </c>
    </row>
    <row r="50" spans="1:18" ht="12.75">
      <c r="A50" s="20" t="s">
        <v>159</v>
      </c>
      <c r="B50" s="5"/>
      <c r="C50" s="42">
        <v>85</v>
      </c>
      <c r="D50" s="22">
        <v>6</v>
      </c>
      <c r="E50" s="43">
        <v>14</v>
      </c>
      <c r="F50" s="9"/>
      <c r="G50" s="187">
        <v>2000</v>
      </c>
      <c r="H50" s="188">
        <f t="shared" si="3"/>
        <v>800</v>
      </c>
      <c r="I50" s="187">
        <v>150</v>
      </c>
      <c r="J50" s="189">
        <v>8700</v>
      </c>
      <c r="K50" s="195">
        <f t="shared" si="2"/>
        <v>1740</v>
      </c>
      <c r="L50" s="13">
        <v>1</v>
      </c>
      <c r="M50" s="193">
        <v>0.16</v>
      </c>
      <c r="N50" s="21">
        <v>1.3</v>
      </c>
      <c r="O50" s="46">
        <f t="shared" si="0"/>
        <v>13.333333333333334</v>
      </c>
      <c r="P50" s="3">
        <f t="shared" si="1"/>
        <v>13.333333333333334</v>
      </c>
      <c r="Q50" s="46">
        <f>IF(ISNUMBER(P50),('Prices &amp; Rates'!$C$4/100)/(1-(1+'Prices &amp; Rates'!$C$4/100)^(-P50)),"")</f>
        <v>0.13900595769842797</v>
      </c>
      <c r="R50" s="179">
        <v>20</v>
      </c>
    </row>
    <row r="51" spans="1:18" ht="12.75">
      <c r="A51" s="20"/>
      <c r="B51" s="5"/>
      <c r="C51" s="42"/>
      <c r="D51" s="22"/>
      <c r="E51" s="43"/>
      <c r="F51" s="9"/>
      <c r="G51" s="187"/>
      <c r="H51" s="188">
        <f t="shared" si="3"/>
      </c>
      <c r="I51" s="187"/>
      <c r="J51" s="189"/>
      <c r="K51" s="195">
        <f t="shared" si="2"/>
      </c>
      <c r="L51" s="13"/>
      <c r="M51" s="193"/>
      <c r="N51" s="21"/>
      <c r="O51" s="46">
        <f t="shared" si="0"/>
      </c>
      <c r="P51" s="3">
        <f t="shared" si="1"/>
      </c>
      <c r="Q51" s="46">
        <f>IF(ISNUMBER(P51),('Prices &amp; Rates'!$C$4/100)/(1-(1+'Prices &amp; Rates'!$C$4/100)^(-P51)),"")</f>
      </c>
      <c r="R51" s="179"/>
    </row>
    <row r="52" spans="1:18" ht="12.75">
      <c r="A52" s="20"/>
      <c r="B52" s="5"/>
      <c r="C52" s="42"/>
      <c r="D52" s="22"/>
      <c r="E52" s="43"/>
      <c r="F52" s="9"/>
      <c r="G52" s="187"/>
      <c r="H52" s="188">
        <f t="shared" si="3"/>
      </c>
      <c r="I52" s="187"/>
      <c r="J52" s="189"/>
      <c r="K52" s="195">
        <f t="shared" si="2"/>
      </c>
      <c r="L52" s="13"/>
      <c r="M52" s="193"/>
      <c r="N52" s="21"/>
      <c r="O52" s="46">
        <f t="shared" si="0"/>
      </c>
      <c r="P52" s="3">
        <f t="shared" si="1"/>
      </c>
      <c r="Q52" s="46">
        <f>IF(ISNUMBER(P52),('Prices &amp; Rates'!$C$4/100)/(1-(1+'Prices &amp; Rates'!$C$4/100)^(-P52)),"")</f>
      </c>
      <c r="R52" s="179"/>
    </row>
    <row r="53" spans="1:18" ht="12.75">
      <c r="A53" s="20" t="s">
        <v>185</v>
      </c>
      <c r="B53" s="5"/>
      <c r="C53" s="42"/>
      <c r="D53" s="22"/>
      <c r="E53" s="43"/>
      <c r="F53" s="9"/>
      <c r="G53" s="187">
        <v>20</v>
      </c>
      <c r="H53" s="188">
        <f t="shared" si="3"/>
        <v>8</v>
      </c>
      <c r="I53" s="187">
        <v>1</v>
      </c>
      <c r="J53" s="189">
        <f>5*2200</f>
        <v>11000</v>
      </c>
      <c r="K53" s="195">
        <v>0</v>
      </c>
      <c r="L53" s="13"/>
      <c r="M53" s="193"/>
      <c r="N53" s="21"/>
      <c r="O53" s="46">
        <f t="shared" si="0"/>
        <v>20</v>
      </c>
      <c r="P53" s="3">
        <f t="shared" si="1"/>
        <v>20</v>
      </c>
      <c r="Q53" s="46">
        <f>IF(ISNUMBER(P53),('Prices &amp; Rates'!$C$4/100)/(1-(1+'Prices &amp; Rates'!$C$4/100)^(-P53)),"")</f>
        <v>0.11745962477254576</v>
      </c>
      <c r="R53" s="179">
        <v>100</v>
      </c>
    </row>
    <row r="54" spans="1:18" ht="12.75">
      <c r="A54" s="20"/>
      <c r="B54" s="5"/>
      <c r="C54" s="42"/>
      <c r="D54" s="22"/>
      <c r="E54" s="43"/>
      <c r="F54" s="9"/>
      <c r="G54" s="187"/>
      <c r="H54" s="188">
        <f t="shared" si="3"/>
      </c>
      <c r="I54" s="187"/>
      <c r="J54" s="189"/>
      <c r="K54" s="195">
        <f t="shared" si="2"/>
      </c>
      <c r="L54" s="13"/>
      <c r="M54" s="193"/>
      <c r="N54" s="21"/>
      <c r="O54" s="46">
        <f t="shared" si="0"/>
      </c>
      <c r="P54" s="3">
        <f t="shared" si="1"/>
      </c>
      <c r="Q54" s="46">
        <f>IF(ISNUMBER(P54),('Prices &amp; Rates'!$C$4/100)/(1-(1+'Prices &amp; Rates'!$C$4/100)^(-P54)),"")</f>
      </c>
      <c r="R54" s="179"/>
    </row>
    <row r="55" spans="1:18" ht="12.75">
      <c r="A55" s="20"/>
      <c r="B55" s="5"/>
      <c r="C55" s="42"/>
      <c r="D55" s="22"/>
      <c r="E55" s="43"/>
      <c r="F55" s="9"/>
      <c r="G55" s="187"/>
      <c r="H55" s="188">
        <f t="shared" si="3"/>
      </c>
      <c r="I55" s="187"/>
      <c r="J55" s="189"/>
      <c r="K55" s="195">
        <f t="shared" si="2"/>
      </c>
      <c r="L55" s="13"/>
      <c r="M55" s="193"/>
      <c r="N55" s="21"/>
      <c r="O55" s="46">
        <f t="shared" si="0"/>
      </c>
      <c r="P55" s="3">
        <f t="shared" si="1"/>
      </c>
      <c r="Q55" s="46">
        <f>IF(ISNUMBER(P55),('Prices &amp; Rates'!$C$4/100)/(1-(1+'Prices &amp; Rates'!$C$4/100)^(-P55)),"")</f>
      </c>
      <c r="R55" s="179"/>
    </row>
    <row r="56" spans="1:18" ht="12.75">
      <c r="A56" s="20"/>
      <c r="B56" s="5"/>
      <c r="C56" s="42"/>
      <c r="D56" s="22"/>
      <c r="E56" s="43"/>
      <c r="F56" s="9"/>
      <c r="G56" s="187"/>
      <c r="H56" s="188">
        <f t="shared" si="3"/>
      </c>
      <c r="I56" s="187"/>
      <c r="J56" s="189"/>
      <c r="K56" s="195">
        <f t="shared" si="2"/>
      </c>
      <c r="L56" s="13"/>
      <c r="M56" s="193"/>
      <c r="N56" s="21"/>
      <c r="O56" s="46">
        <f t="shared" si="0"/>
      </c>
      <c r="P56" s="3">
        <f t="shared" si="1"/>
      </c>
      <c r="Q56" s="46">
        <f>IF(ISNUMBER(P56),('Prices &amp; Rates'!$C$4/100)/(1-(1+'Prices &amp; Rates'!$C$4/100)^(-P56)),"")</f>
      </c>
      <c r="R56" s="179"/>
    </row>
    <row r="57" spans="1:18" ht="12.75">
      <c r="A57" s="20"/>
      <c r="B57" s="5"/>
      <c r="C57" s="42"/>
      <c r="D57" s="22"/>
      <c r="E57" s="43"/>
      <c r="F57" s="9"/>
      <c r="G57" s="187"/>
      <c r="H57" s="188">
        <f t="shared" si="3"/>
      </c>
      <c r="I57" s="187"/>
      <c r="J57" s="189"/>
      <c r="K57" s="195">
        <f t="shared" si="2"/>
      </c>
      <c r="L57" s="13"/>
      <c r="M57" s="193"/>
      <c r="N57" s="21"/>
      <c r="O57" s="46">
        <f t="shared" si="0"/>
      </c>
      <c r="P57" s="3">
        <f t="shared" si="1"/>
      </c>
      <c r="Q57" s="46">
        <f>IF(ISNUMBER(P57),('Prices &amp; Rates'!$C$4/100)/(1-(1+'Prices &amp; Rates'!$C$4/100)^(-P57)),"")</f>
      </c>
      <c r="R57" s="179"/>
    </row>
    <row r="58" spans="1:18" ht="12.75">
      <c r="A58" s="20"/>
      <c r="B58" s="5"/>
      <c r="C58" s="42"/>
      <c r="D58" s="22"/>
      <c r="E58" s="43"/>
      <c r="F58" s="9"/>
      <c r="G58" s="187"/>
      <c r="H58" s="188">
        <f t="shared" si="3"/>
      </c>
      <c r="I58" s="187"/>
      <c r="J58" s="189"/>
      <c r="K58" s="195">
        <f t="shared" si="2"/>
      </c>
      <c r="L58" s="13"/>
      <c r="M58" s="193"/>
      <c r="N58" s="21"/>
      <c r="O58" s="46">
        <f t="shared" si="0"/>
      </c>
      <c r="P58" s="3">
        <f t="shared" si="1"/>
      </c>
      <c r="Q58" s="46">
        <f>IF(ISNUMBER(P58),('Prices &amp; Rates'!$C$4/100)/(1-(1+'Prices &amp; Rates'!$C$4/100)^(-P58)),"")</f>
      </c>
      <c r="R58" s="179"/>
    </row>
    <row r="59" spans="1:18" ht="12.75">
      <c r="A59" s="20"/>
      <c r="B59" s="5"/>
      <c r="C59" s="42"/>
      <c r="D59" s="22"/>
      <c r="E59" s="43"/>
      <c r="F59" s="9"/>
      <c r="G59" s="187"/>
      <c r="H59" s="188">
        <f t="shared" si="3"/>
      </c>
      <c r="I59" s="187"/>
      <c r="J59" s="189"/>
      <c r="K59" s="195">
        <f t="shared" si="2"/>
      </c>
      <c r="L59" s="13"/>
      <c r="M59" s="193"/>
      <c r="N59" s="21"/>
      <c r="O59" s="46">
        <f t="shared" si="0"/>
      </c>
      <c r="P59" s="3">
        <f t="shared" si="1"/>
      </c>
      <c r="Q59" s="46">
        <f>IF(ISNUMBER(P59),('Prices &amp; Rates'!$C$4/100)/(1-(1+'Prices &amp; Rates'!$C$4/100)^(-P59)),"")</f>
      </c>
      <c r="R59" s="179"/>
    </row>
    <row r="60" spans="1:18" ht="12.75">
      <c r="A60" s="20"/>
      <c r="B60" s="5"/>
      <c r="C60" s="42"/>
      <c r="D60" s="22"/>
      <c r="E60" s="43"/>
      <c r="F60" s="9"/>
      <c r="G60" s="187"/>
      <c r="H60" s="188">
        <f t="shared" si="3"/>
      </c>
      <c r="I60" s="187"/>
      <c r="J60" s="189"/>
      <c r="K60" s="195">
        <f t="shared" si="2"/>
      </c>
      <c r="L60" s="13"/>
      <c r="M60" s="193"/>
      <c r="N60" s="21"/>
      <c r="O60" s="46">
        <f t="shared" si="0"/>
      </c>
      <c r="P60" s="3">
        <f t="shared" si="1"/>
      </c>
      <c r="Q60" s="46">
        <f>IF(ISNUMBER(P60),('Prices &amp; Rates'!$C$4/100)/(1-(1+'Prices &amp; Rates'!$C$4/100)^(-P60)),"")</f>
      </c>
      <c r="R60" s="179"/>
    </row>
    <row r="61" spans="1:18" ht="12.75">
      <c r="A61" s="55"/>
      <c r="B61" s="5"/>
      <c r="C61" s="42"/>
      <c r="D61" s="22"/>
      <c r="E61" s="43"/>
      <c r="F61" s="9"/>
      <c r="G61" s="187"/>
      <c r="H61" s="188">
        <f t="shared" si="3"/>
      </c>
      <c r="I61" s="187"/>
      <c r="J61" s="189"/>
      <c r="K61" s="195">
        <f t="shared" si="2"/>
      </c>
      <c r="L61" s="13"/>
      <c r="M61" s="193"/>
      <c r="N61" s="21"/>
      <c r="O61" s="46">
        <f t="shared" si="0"/>
      </c>
      <c r="P61" s="3">
        <f t="shared" si="1"/>
      </c>
      <c r="Q61" s="46">
        <f>IF(ISNUMBER(P61),('Prices &amp; Rates'!$C$4/100)/(1-(1+'Prices &amp; Rates'!$C$4/100)^(-P61)),"")</f>
      </c>
      <c r="R61" s="179"/>
    </row>
    <row r="62" spans="1:18" ht="12.75">
      <c r="A62" s="55"/>
      <c r="B62" s="5"/>
      <c r="C62" s="42"/>
      <c r="D62" s="22"/>
      <c r="E62" s="43"/>
      <c r="F62" s="9"/>
      <c r="G62" s="187"/>
      <c r="H62" s="188">
        <f t="shared" si="3"/>
      </c>
      <c r="I62" s="187"/>
      <c r="J62" s="189"/>
      <c r="K62" s="195">
        <f t="shared" si="2"/>
      </c>
      <c r="L62" s="13"/>
      <c r="M62" s="193"/>
      <c r="N62" s="21"/>
      <c r="O62" s="46">
        <f t="shared" si="0"/>
      </c>
      <c r="P62" s="3">
        <f t="shared" si="1"/>
      </c>
      <c r="Q62" s="46">
        <f>IF(ISNUMBER(P62),('Prices &amp; Rates'!$C$4/100)/(1-(1+'Prices &amp; Rates'!$C$4/100)^(-P62)),"")</f>
      </c>
      <c r="R62" s="179"/>
    </row>
    <row r="63" spans="1:18" ht="12.75">
      <c r="A63" s="55"/>
      <c r="B63" s="5"/>
      <c r="C63" s="42"/>
      <c r="D63" s="22"/>
      <c r="E63" s="43"/>
      <c r="F63" s="9"/>
      <c r="G63" s="187"/>
      <c r="H63" s="188">
        <f t="shared" si="3"/>
      </c>
      <c r="I63" s="187"/>
      <c r="J63" s="189"/>
      <c r="K63" s="195">
        <f t="shared" si="2"/>
      </c>
      <c r="L63" s="13"/>
      <c r="M63" s="193"/>
      <c r="N63" s="21"/>
      <c r="O63" s="46">
        <f t="shared" si="0"/>
      </c>
      <c r="P63" s="3">
        <f t="shared" si="1"/>
      </c>
      <c r="Q63" s="46">
        <f>IF(ISNUMBER(P63),('Prices &amp; Rates'!$C$4/100)/(1-(1+'Prices &amp; Rates'!$C$4/100)^(-P63)),"")</f>
      </c>
      <c r="R63" s="179"/>
    </row>
    <row r="64" spans="1:18" ht="12.75">
      <c r="A64" s="55"/>
      <c r="B64" s="5"/>
      <c r="C64" s="42"/>
      <c r="D64" s="22"/>
      <c r="E64" s="43"/>
      <c r="F64" s="9"/>
      <c r="G64" s="187"/>
      <c r="H64" s="188">
        <f t="shared" si="3"/>
      </c>
      <c r="I64" s="187"/>
      <c r="J64" s="189"/>
      <c r="K64" s="195">
        <f t="shared" si="2"/>
      </c>
      <c r="L64" s="13"/>
      <c r="M64" s="193"/>
      <c r="N64" s="21"/>
      <c r="O64" s="46">
        <f t="shared" si="0"/>
      </c>
      <c r="P64" s="3">
        <f t="shared" si="1"/>
      </c>
      <c r="Q64" s="46">
        <f>IF(ISNUMBER(P64),('Prices &amp; Rates'!$C$4/100)/(1-(1+'Prices &amp; Rates'!$C$4/100)^(-P64)),"")</f>
      </c>
      <c r="R64" s="179"/>
    </row>
    <row r="65" spans="1:18" ht="12.75">
      <c r="A65" s="55"/>
      <c r="B65" s="5"/>
      <c r="C65" s="42"/>
      <c r="D65" s="22"/>
      <c r="E65" s="43"/>
      <c r="F65" s="9"/>
      <c r="G65" s="187"/>
      <c r="H65" s="188">
        <f t="shared" si="3"/>
      </c>
      <c r="I65" s="187"/>
      <c r="J65" s="189"/>
      <c r="K65" s="195">
        <f t="shared" si="2"/>
      </c>
      <c r="L65" s="13"/>
      <c r="M65" s="193"/>
      <c r="N65" s="21"/>
      <c r="O65" s="46">
        <f t="shared" si="0"/>
      </c>
      <c r="P65" s="3">
        <f t="shared" si="1"/>
      </c>
      <c r="Q65" s="46">
        <f>IF(ISNUMBER(P65),('Prices &amp; Rates'!$C$4/100)/(1-(1+'Prices &amp; Rates'!$C$4/100)^(-P65)),"")</f>
      </c>
      <c r="R65" s="179"/>
    </row>
    <row r="66" spans="1:18" ht="12.75">
      <c r="A66" s="55"/>
      <c r="B66" s="5"/>
      <c r="C66" s="42"/>
      <c r="D66" s="22"/>
      <c r="E66" s="43"/>
      <c r="F66" s="9"/>
      <c r="G66" s="187"/>
      <c r="H66" s="188">
        <f t="shared" si="3"/>
      </c>
      <c r="I66" s="187"/>
      <c r="J66" s="189"/>
      <c r="K66" s="195">
        <f t="shared" si="2"/>
      </c>
      <c r="L66" s="13"/>
      <c r="M66" s="193"/>
      <c r="N66" s="21"/>
      <c r="O66" s="46">
        <f t="shared" si="0"/>
      </c>
      <c r="P66" s="3">
        <f t="shared" si="1"/>
      </c>
      <c r="Q66" s="46">
        <f>IF(ISNUMBER(P66),('Prices &amp; Rates'!$C$4/100)/(1-(1+'Prices &amp; Rates'!$C$4/100)^(-P66)),"")</f>
      </c>
      <c r="R66" s="179"/>
    </row>
    <row r="67" spans="1:18" ht="12.75">
      <c r="A67" s="55"/>
      <c r="B67" s="5"/>
      <c r="C67" s="42"/>
      <c r="D67" s="22"/>
      <c r="E67" s="43"/>
      <c r="F67" s="9"/>
      <c r="G67" s="187"/>
      <c r="H67" s="188">
        <f t="shared" si="3"/>
      </c>
      <c r="I67" s="187"/>
      <c r="J67" s="189"/>
      <c r="K67" s="195">
        <f t="shared" si="2"/>
      </c>
      <c r="L67" s="13"/>
      <c r="M67" s="193"/>
      <c r="N67" s="21"/>
      <c r="O67" s="46">
        <f t="shared" si="0"/>
      </c>
      <c r="P67" s="3">
        <f t="shared" si="1"/>
      </c>
      <c r="Q67" s="46">
        <f>IF(ISNUMBER(P67),('Prices &amp; Rates'!$C$4/100)/(1-(1+'Prices &amp; Rates'!$C$4/100)^(-P67)),"")</f>
      </c>
      <c r="R67" s="179"/>
    </row>
    <row r="68" spans="1:18" ht="12.75">
      <c r="A68" s="55"/>
      <c r="B68" s="5"/>
      <c r="C68" s="42"/>
      <c r="D68" s="22"/>
      <c r="E68" s="43"/>
      <c r="F68" s="9"/>
      <c r="G68" s="187"/>
      <c r="H68" s="188">
        <f t="shared" si="3"/>
      </c>
      <c r="I68" s="187"/>
      <c r="J68" s="189"/>
      <c r="K68" s="195">
        <f t="shared" si="2"/>
      </c>
      <c r="L68" s="13"/>
      <c r="M68" s="193"/>
      <c r="N68" s="21"/>
      <c r="O68" s="46">
        <f t="shared" si="0"/>
      </c>
      <c r="P68" s="3">
        <f t="shared" si="1"/>
      </c>
      <c r="Q68" s="46">
        <f>IF(ISNUMBER(P68),('Prices &amp; Rates'!$C$4/100)/(1-(1+'Prices &amp; Rates'!$C$4/100)^(-P68)),"")</f>
      </c>
      <c r="R68" s="179"/>
    </row>
    <row r="69" spans="1:18" ht="12.75">
      <c r="A69" s="55"/>
      <c r="B69" s="5"/>
      <c r="C69" s="42"/>
      <c r="D69" s="22"/>
      <c r="E69" s="43"/>
      <c r="F69" s="9"/>
      <c r="G69" s="187"/>
      <c r="H69" s="188">
        <f t="shared" si="3"/>
      </c>
      <c r="I69" s="187"/>
      <c r="J69" s="189"/>
      <c r="K69" s="195">
        <f t="shared" si="2"/>
      </c>
      <c r="L69" s="13"/>
      <c r="M69" s="193"/>
      <c r="N69" s="21"/>
      <c r="O69" s="46">
        <f aca="true" t="shared" si="4" ref="O69:O100">IF(AND(ISNUMBER(G69),ISNUMBER(I69)),G69/I69,"")</f>
      </c>
      <c r="P69" s="3">
        <f aca="true" t="shared" si="5" ref="P69:P100">IF(ISNUMBER(O69),IF(O69&lt;20,O69,20),"")</f>
      </c>
      <c r="Q69" s="46">
        <f>IF(ISNUMBER(P69),('Prices &amp; Rates'!$C$4/100)/(1-(1+'Prices &amp; Rates'!$C$4/100)^(-P69)),"")</f>
      </c>
      <c r="R69" s="179"/>
    </row>
    <row r="70" spans="1:18" ht="12.75">
      <c r="A70" s="55"/>
      <c r="B70" s="5"/>
      <c r="C70" s="42"/>
      <c r="D70" s="22"/>
      <c r="E70" s="43"/>
      <c r="F70" s="9"/>
      <c r="G70" s="187"/>
      <c r="H70" s="188">
        <f t="shared" si="3"/>
      </c>
      <c r="I70" s="187"/>
      <c r="J70" s="189"/>
      <c r="K70" s="195">
        <f aca="true" t="shared" si="6" ref="K70:K100">IF(ISNUMBER(J70),0.2*J70,"")</f>
      </c>
      <c r="L70" s="13"/>
      <c r="M70" s="193"/>
      <c r="N70" s="21"/>
      <c r="O70" s="46">
        <f t="shared" si="4"/>
      </c>
      <c r="P70" s="3">
        <f t="shared" si="5"/>
      </c>
      <c r="Q70" s="46">
        <f>IF(ISNUMBER(P70),('Prices &amp; Rates'!$C$4/100)/(1-(1+'Prices &amp; Rates'!$C$4/100)^(-P70)),"")</f>
      </c>
      <c r="R70" s="179"/>
    </row>
    <row r="71" spans="1:18" ht="12.75">
      <c r="A71" s="55"/>
      <c r="B71" s="5"/>
      <c r="C71" s="42"/>
      <c r="D71" s="22"/>
      <c r="E71" s="43"/>
      <c r="F71" s="9"/>
      <c r="G71" s="187"/>
      <c r="H71" s="188">
        <f t="shared" si="3"/>
      </c>
      <c r="I71" s="187"/>
      <c r="J71" s="189"/>
      <c r="K71" s="195">
        <f t="shared" si="6"/>
      </c>
      <c r="L71" s="13"/>
      <c r="M71" s="193"/>
      <c r="N71" s="21"/>
      <c r="O71" s="46">
        <f t="shared" si="4"/>
      </c>
      <c r="P71" s="3">
        <f t="shared" si="5"/>
      </c>
      <c r="Q71" s="46">
        <f>IF(ISNUMBER(P71),('Prices &amp; Rates'!$C$4/100)/(1-(1+'Prices &amp; Rates'!$C$4/100)^(-P71)),"")</f>
      </c>
      <c r="R71" s="179"/>
    </row>
    <row r="72" spans="1:18" ht="12.75">
      <c r="A72" s="55"/>
      <c r="B72" s="5"/>
      <c r="C72" s="42"/>
      <c r="D72" s="22"/>
      <c r="E72" s="43"/>
      <c r="F72" s="9"/>
      <c r="G72" s="187"/>
      <c r="H72" s="188">
        <f t="shared" si="3"/>
      </c>
      <c r="I72" s="187"/>
      <c r="J72" s="189"/>
      <c r="K72" s="195">
        <f t="shared" si="6"/>
      </c>
      <c r="L72" s="13"/>
      <c r="M72" s="193"/>
      <c r="N72" s="21"/>
      <c r="O72" s="46">
        <f t="shared" si="4"/>
      </c>
      <c r="P72" s="3">
        <f t="shared" si="5"/>
      </c>
      <c r="Q72" s="46">
        <f>IF(ISNUMBER(P72),('Prices &amp; Rates'!$C$4/100)/(1-(1+'Prices &amp; Rates'!$C$4/100)^(-P72)),"")</f>
      </c>
      <c r="R72" s="179"/>
    </row>
    <row r="73" spans="1:18" ht="12.75">
      <c r="A73" s="55"/>
      <c r="B73" s="5"/>
      <c r="C73" s="42"/>
      <c r="D73" s="22"/>
      <c r="E73" s="43"/>
      <c r="F73" s="9"/>
      <c r="G73" s="187"/>
      <c r="H73" s="188">
        <f aca="true" t="shared" si="7" ref="H73:H100">IF(ISNUMBER(G73),0.4*G73,"")</f>
      </c>
      <c r="I73" s="187"/>
      <c r="J73" s="189"/>
      <c r="K73" s="195">
        <f t="shared" si="6"/>
      </c>
      <c r="L73" s="13"/>
      <c r="M73" s="193"/>
      <c r="N73" s="21"/>
      <c r="O73" s="46">
        <f t="shared" si="4"/>
      </c>
      <c r="P73" s="3">
        <f t="shared" si="5"/>
      </c>
      <c r="Q73" s="46">
        <f>IF(ISNUMBER(P73),('Prices &amp; Rates'!$C$4/100)/(1-(1+'Prices &amp; Rates'!$C$4/100)^(-P73)),"")</f>
      </c>
      <c r="R73" s="179"/>
    </row>
    <row r="74" spans="1:18" ht="12.75">
      <c r="A74" s="55"/>
      <c r="B74" s="5"/>
      <c r="C74" s="42"/>
      <c r="D74" s="22"/>
      <c r="E74" s="43"/>
      <c r="F74" s="9"/>
      <c r="G74" s="187"/>
      <c r="H74" s="188">
        <f t="shared" si="7"/>
      </c>
      <c r="I74" s="187"/>
      <c r="J74" s="189"/>
      <c r="K74" s="195">
        <f t="shared" si="6"/>
      </c>
      <c r="L74" s="13"/>
      <c r="M74" s="193"/>
      <c r="N74" s="21"/>
      <c r="O74" s="46">
        <f t="shared" si="4"/>
      </c>
      <c r="P74" s="3">
        <f t="shared" si="5"/>
      </c>
      <c r="Q74" s="46">
        <f>IF(ISNUMBER(P74),('Prices &amp; Rates'!$C$4/100)/(1-(1+'Prices &amp; Rates'!$C$4/100)^(-P74)),"")</f>
      </c>
      <c r="R74" s="179"/>
    </row>
    <row r="75" spans="1:18" ht="12.75">
      <c r="A75" s="55"/>
      <c r="B75" s="5"/>
      <c r="C75" s="42"/>
      <c r="D75" s="22"/>
      <c r="E75" s="43"/>
      <c r="F75" s="9"/>
      <c r="G75" s="187"/>
      <c r="H75" s="188">
        <f t="shared" si="7"/>
      </c>
      <c r="I75" s="187"/>
      <c r="J75" s="189"/>
      <c r="K75" s="195">
        <f t="shared" si="6"/>
      </c>
      <c r="L75" s="13"/>
      <c r="M75" s="193"/>
      <c r="N75" s="21"/>
      <c r="O75" s="46">
        <f t="shared" si="4"/>
      </c>
      <c r="P75" s="3">
        <f t="shared" si="5"/>
      </c>
      <c r="Q75" s="46">
        <f>IF(ISNUMBER(P75),('Prices &amp; Rates'!$C$4/100)/(1-(1+'Prices &amp; Rates'!$C$4/100)^(-P75)),"")</f>
      </c>
      <c r="R75" s="179"/>
    </row>
    <row r="76" spans="1:18" ht="12.75">
      <c r="A76" s="55"/>
      <c r="B76" s="5"/>
      <c r="C76" s="42"/>
      <c r="D76" s="22"/>
      <c r="E76" s="43"/>
      <c r="F76" s="9"/>
      <c r="G76" s="187"/>
      <c r="H76" s="188">
        <f t="shared" si="7"/>
      </c>
      <c r="I76" s="187"/>
      <c r="J76" s="189"/>
      <c r="K76" s="195">
        <f t="shared" si="6"/>
      </c>
      <c r="L76" s="13"/>
      <c r="M76" s="193"/>
      <c r="N76" s="21"/>
      <c r="O76" s="46">
        <f t="shared" si="4"/>
      </c>
      <c r="P76" s="3">
        <f t="shared" si="5"/>
      </c>
      <c r="Q76" s="46">
        <f>IF(ISNUMBER(P76),('Prices &amp; Rates'!$C$4/100)/(1-(1+'Prices &amp; Rates'!$C$4/100)^(-P76)),"")</f>
      </c>
      <c r="R76" s="179"/>
    </row>
    <row r="77" spans="1:18" ht="12.75">
      <c r="A77" s="55"/>
      <c r="B77" s="5"/>
      <c r="C77" s="42"/>
      <c r="D77" s="22"/>
      <c r="E77" s="43"/>
      <c r="F77" s="9"/>
      <c r="G77" s="187"/>
      <c r="H77" s="188">
        <f t="shared" si="7"/>
      </c>
      <c r="I77" s="187"/>
      <c r="J77" s="189"/>
      <c r="K77" s="195">
        <f t="shared" si="6"/>
      </c>
      <c r="L77" s="13"/>
      <c r="M77" s="193"/>
      <c r="N77" s="21"/>
      <c r="O77" s="46">
        <f t="shared" si="4"/>
      </c>
      <c r="P77" s="3">
        <f t="shared" si="5"/>
      </c>
      <c r="Q77" s="46">
        <f>IF(ISNUMBER(P77),('Prices &amp; Rates'!$C$4/100)/(1-(1+'Prices &amp; Rates'!$C$4/100)^(-P77)),"")</f>
      </c>
      <c r="R77" s="179"/>
    </row>
    <row r="78" spans="1:18" ht="12.75">
      <c r="A78" s="55"/>
      <c r="B78" s="5"/>
      <c r="C78" s="42"/>
      <c r="D78" s="22"/>
      <c r="E78" s="43"/>
      <c r="F78" s="9"/>
      <c r="G78" s="187"/>
      <c r="H78" s="188">
        <f t="shared" si="7"/>
      </c>
      <c r="I78" s="187"/>
      <c r="J78" s="189"/>
      <c r="K78" s="195">
        <f t="shared" si="6"/>
      </c>
      <c r="L78" s="13"/>
      <c r="M78" s="193"/>
      <c r="N78" s="21"/>
      <c r="O78" s="46">
        <f t="shared" si="4"/>
      </c>
      <c r="P78" s="3">
        <f t="shared" si="5"/>
      </c>
      <c r="Q78" s="46">
        <f>IF(ISNUMBER(P78),('Prices &amp; Rates'!$C$4/100)/(1-(1+'Prices &amp; Rates'!$C$4/100)^(-P78)),"")</f>
      </c>
      <c r="R78" s="179"/>
    </row>
    <row r="79" spans="1:18" ht="12.75">
      <c r="A79" s="55"/>
      <c r="B79" s="5"/>
      <c r="C79" s="42"/>
      <c r="D79" s="22"/>
      <c r="E79" s="43"/>
      <c r="F79" s="9"/>
      <c r="G79" s="187"/>
      <c r="H79" s="188">
        <f t="shared" si="7"/>
      </c>
      <c r="I79" s="187"/>
      <c r="J79" s="189"/>
      <c r="K79" s="195">
        <f t="shared" si="6"/>
      </c>
      <c r="L79" s="13"/>
      <c r="M79" s="193"/>
      <c r="N79" s="21"/>
      <c r="O79" s="46">
        <f t="shared" si="4"/>
      </c>
      <c r="P79" s="3">
        <f t="shared" si="5"/>
      </c>
      <c r="Q79" s="46">
        <f>IF(ISNUMBER(P79),('Prices &amp; Rates'!$C$4/100)/(1-(1+'Prices &amp; Rates'!$C$4/100)^(-P79)),"")</f>
      </c>
      <c r="R79" s="179"/>
    </row>
    <row r="80" spans="1:18" ht="12.75">
      <c r="A80" s="55"/>
      <c r="B80" s="5"/>
      <c r="C80" s="42"/>
      <c r="D80" s="22"/>
      <c r="E80" s="43"/>
      <c r="F80" s="9"/>
      <c r="G80" s="187"/>
      <c r="H80" s="188">
        <f t="shared" si="7"/>
      </c>
      <c r="I80" s="187"/>
      <c r="J80" s="189"/>
      <c r="K80" s="195">
        <f t="shared" si="6"/>
      </c>
      <c r="L80" s="13"/>
      <c r="M80" s="193"/>
      <c r="N80" s="21"/>
      <c r="O80" s="46">
        <f t="shared" si="4"/>
      </c>
      <c r="P80" s="3">
        <f t="shared" si="5"/>
      </c>
      <c r="Q80" s="46">
        <f>IF(ISNUMBER(P80),('Prices &amp; Rates'!$C$4/100)/(1-(1+'Prices &amp; Rates'!$C$4/100)^(-P80)),"")</f>
      </c>
      <c r="R80" s="179"/>
    </row>
    <row r="81" spans="1:18" ht="12.75">
      <c r="A81" s="55"/>
      <c r="B81" s="5"/>
      <c r="C81" s="42"/>
      <c r="D81" s="22"/>
      <c r="E81" s="43"/>
      <c r="F81" s="9"/>
      <c r="G81" s="187"/>
      <c r="H81" s="188">
        <f t="shared" si="7"/>
      </c>
      <c r="I81" s="187"/>
      <c r="J81" s="189"/>
      <c r="K81" s="195">
        <f t="shared" si="6"/>
      </c>
      <c r="L81" s="13"/>
      <c r="M81" s="193"/>
      <c r="N81" s="21"/>
      <c r="O81" s="46">
        <f t="shared" si="4"/>
      </c>
      <c r="P81" s="3">
        <f t="shared" si="5"/>
      </c>
      <c r="Q81" s="46">
        <f>IF(ISNUMBER(P81),('Prices &amp; Rates'!$C$4/100)/(1-(1+'Prices &amp; Rates'!$C$4/100)^(-P81)),"")</f>
      </c>
      <c r="R81" s="179"/>
    </row>
    <row r="82" spans="1:18" ht="12.75">
      <c r="A82" s="55"/>
      <c r="B82" s="5"/>
      <c r="C82" s="42"/>
      <c r="D82" s="22"/>
      <c r="E82" s="43"/>
      <c r="F82" s="9"/>
      <c r="G82" s="187"/>
      <c r="H82" s="188">
        <f t="shared" si="7"/>
      </c>
      <c r="I82" s="187"/>
      <c r="J82" s="189"/>
      <c r="K82" s="195">
        <f t="shared" si="6"/>
      </c>
      <c r="L82" s="13"/>
      <c r="M82" s="193"/>
      <c r="N82" s="21"/>
      <c r="O82" s="46">
        <f t="shared" si="4"/>
      </c>
      <c r="P82" s="3">
        <f t="shared" si="5"/>
      </c>
      <c r="Q82" s="46">
        <f>IF(ISNUMBER(P82),('Prices &amp; Rates'!$C$4/100)/(1-(1+'Prices &amp; Rates'!$C$4/100)^(-P82)),"")</f>
      </c>
      <c r="R82" s="179"/>
    </row>
    <row r="83" spans="1:18" ht="12.75">
      <c r="A83" s="55"/>
      <c r="B83" s="5"/>
      <c r="C83" s="42"/>
      <c r="D83" s="22"/>
      <c r="E83" s="43"/>
      <c r="F83" s="9"/>
      <c r="G83" s="187"/>
      <c r="H83" s="188">
        <f t="shared" si="7"/>
      </c>
      <c r="I83" s="187"/>
      <c r="J83" s="189"/>
      <c r="K83" s="195">
        <f t="shared" si="6"/>
      </c>
      <c r="L83" s="13"/>
      <c r="M83" s="193"/>
      <c r="N83" s="21"/>
      <c r="O83" s="46">
        <f t="shared" si="4"/>
      </c>
      <c r="P83" s="3">
        <f t="shared" si="5"/>
      </c>
      <c r="Q83" s="46">
        <f>IF(ISNUMBER(P83),('Prices &amp; Rates'!$C$4/100)/(1-(1+'Prices &amp; Rates'!$C$4/100)^(-P83)),"")</f>
      </c>
      <c r="R83" s="179"/>
    </row>
    <row r="84" spans="1:18" ht="12.75">
      <c r="A84" s="55"/>
      <c r="B84" s="5"/>
      <c r="C84" s="42"/>
      <c r="D84" s="22"/>
      <c r="E84" s="43"/>
      <c r="F84" s="9"/>
      <c r="G84" s="187"/>
      <c r="H84" s="188">
        <f t="shared" si="7"/>
      </c>
      <c r="I84" s="187"/>
      <c r="J84" s="189"/>
      <c r="K84" s="195">
        <f t="shared" si="6"/>
      </c>
      <c r="L84" s="13"/>
      <c r="M84" s="193"/>
      <c r="N84" s="21"/>
      <c r="O84" s="46">
        <f t="shared" si="4"/>
      </c>
      <c r="P84" s="3">
        <f t="shared" si="5"/>
      </c>
      <c r="Q84" s="46">
        <f>IF(ISNUMBER(P84),('Prices &amp; Rates'!$C$4/100)/(1-(1+'Prices &amp; Rates'!$C$4/100)^(-P84)),"")</f>
      </c>
      <c r="R84" s="179"/>
    </row>
    <row r="85" spans="1:18" ht="12.75">
      <c r="A85" s="55"/>
      <c r="B85" s="5"/>
      <c r="C85" s="42"/>
      <c r="D85" s="22"/>
      <c r="E85" s="43"/>
      <c r="F85" s="9"/>
      <c r="G85" s="187"/>
      <c r="H85" s="188">
        <f t="shared" si="7"/>
      </c>
      <c r="I85" s="187"/>
      <c r="J85" s="189"/>
      <c r="K85" s="195">
        <f t="shared" si="6"/>
      </c>
      <c r="L85" s="13"/>
      <c r="M85" s="193"/>
      <c r="N85" s="21"/>
      <c r="O85" s="46">
        <f t="shared" si="4"/>
      </c>
      <c r="P85" s="3">
        <f t="shared" si="5"/>
      </c>
      <c r="Q85" s="46">
        <f>IF(ISNUMBER(P85),('Prices &amp; Rates'!$C$4/100)/(1-(1+'Prices &amp; Rates'!$C$4/100)^(-P85)),"")</f>
      </c>
      <c r="R85" s="179"/>
    </row>
    <row r="86" spans="1:18" ht="12.75">
      <c r="A86" s="55"/>
      <c r="B86" s="5"/>
      <c r="C86" s="42"/>
      <c r="D86" s="22"/>
      <c r="E86" s="43"/>
      <c r="F86" s="9"/>
      <c r="G86" s="187"/>
      <c r="H86" s="188">
        <f t="shared" si="7"/>
      </c>
      <c r="I86" s="187"/>
      <c r="J86" s="189"/>
      <c r="K86" s="195">
        <f t="shared" si="6"/>
      </c>
      <c r="L86" s="13"/>
      <c r="M86" s="193"/>
      <c r="N86" s="21"/>
      <c r="O86" s="46">
        <f t="shared" si="4"/>
      </c>
      <c r="P86" s="3">
        <f t="shared" si="5"/>
      </c>
      <c r="Q86" s="46">
        <f>IF(ISNUMBER(P86),('Prices &amp; Rates'!$C$4/100)/(1-(1+'Prices &amp; Rates'!$C$4/100)^(-P86)),"")</f>
      </c>
      <c r="R86" s="179"/>
    </row>
    <row r="87" spans="1:18" ht="12.75">
      <c r="A87" s="55"/>
      <c r="B87" s="5"/>
      <c r="C87" s="42"/>
      <c r="D87" s="22"/>
      <c r="E87" s="43"/>
      <c r="F87" s="9"/>
      <c r="G87" s="187"/>
      <c r="H87" s="188">
        <f t="shared" si="7"/>
      </c>
      <c r="I87" s="187"/>
      <c r="J87" s="189"/>
      <c r="K87" s="195">
        <f t="shared" si="6"/>
      </c>
      <c r="L87" s="13"/>
      <c r="M87" s="193"/>
      <c r="N87" s="21"/>
      <c r="O87" s="46">
        <f t="shared" si="4"/>
      </c>
      <c r="P87" s="3">
        <f t="shared" si="5"/>
      </c>
      <c r="Q87" s="46">
        <f>IF(ISNUMBER(P87),('Prices &amp; Rates'!$C$4/100)/(1-(1+'Prices &amp; Rates'!$C$4/100)^(-P87)),"")</f>
      </c>
      <c r="R87" s="179"/>
    </row>
    <row r="88" spans="1:18" ht="12.75">
      <c r="A88" s="55"/>
      <c r="B88" s="5"/>
      <c r="C88" s="42"/>
      <c r="D88" s="22"/>
      <c r="E88" s="43"/>
      <c r="F88" s="9"/>
      <c r="G88" s="187"/>
      <c r="H88" s="188">
        <f t="shared" si="7"/>
      </c>
      <c r="I88" s="187"/>
      <c r="J88" s="189"/>
      <c r="K88" s="195">
        <f t="shared" si="6"/>
      </c>
      <c r="L88" s="13"/>
      <c r="M88" s="193"/>
      <c r="N88" s="21"/>
      <c r="O88" s="46">
        <f t="shared" si="4"/>
      </c>
      <c r="P88" s="3">
        <f t="shared" si="5"/>
      </c>
      <c r="Q88" s="46">
        <f>IF(ISNUMBER(P88),('Prices &amp; Rates'!$C$4/100)/(1-(1+'Prices &amp; Rates'!$C$4/100)^(-P88)),"")</f>
      </c>
      <c r="R88" s="179"/>
    </row>
    <row r="89" spans="1:18" ht="12.75">
      <c r="A89" s="55"/>
      <c r="B89" s="5"/>
      <c r="C89" s="42"/>
      <c r="D89" s="22"/>
      <c r="E89" s="43"/>
      <c r="F89" s="9"/>
      <c r="G89" s="187"/>
      <c r="H89" s="188">
        <f t="shared" si="7"/>
      </c>
      <c r="I89" s="187"/>
      <c r="J89" s="189"/>
      <c r="K89" s="195">
        <f t="shared" si="6"/>
      </c>
      <c r="L89" s="13"/>
      <c r="M89" s="193"/>
      <c r="N89" s="21"/>
      <c r="O89" s="46">
        <f t="shared" si="4"/>
      </c>
      <c r="P89" s="3">
        <f t="shared" si="5"/>
      </c>
      <c r="Q89" s="46">
        <f>IF(ISNUMBER(P89),('Prices &amp; Rates'!$C$4/100)/(1-(1+'Prices &amp; Rates'!$C$4/100)^(-P89)),"")</f>
      </c>
      <c r="R89" s="179"/>
    </row>
    <row r="90" spans="1:18" ht="12.75">
      <c r="A90" s="55"/>
      <c r="B90" s="5"/>
      <c r="C90" s="42"/>
      <c r="D90" s="22"/>
      <c r="E90" s="43"/>
      <c r="F90" s="9"/>
      <c r="G90" s="187"/>
      <c r="H90" s="188">
        <f t="shared" si="7"/>
      </c>
      <c r="I90" s="187"/>
      <c r="J90" s="189"/>
      <c r="K90" s="195">
        <f t="shared" si="6"/>
      </c>
      <c r="L90" s="13"/>
      <c r="M90" s="193"/>
      <c r="N90" s="21"/>
      <c r="O90" s="46">
        <f t="shared" si="4"/>
      </c>
      <c r="P90" s="3">
        <f t="shared" si="5"/>
      </c>
      <c r="Q90" s="46">
        <f>IF(ISNUMBER(P90),('Prices &amp; Rates'!$C$4/100)/(1-(1+'Prices &amp; Rates'!$C$4/100)^(-P90)),"")</f>
      </c>
      <c r="R90" s="179"/>
    </row>
    <row r="91" spans="1:18" ht="12.75">
      <c r="A91" s="55"/>
      <c r="B91" s="5"/>
      <c r="C91" s="42"/>
      <c r="D91" s="22"/>
      <c r="E91" s="43"/>
      <c r="F91" s="9"/>
      <c r="G91" s="187"/>
      <c r="H91" s="188">
        <f t="shared" si="7"/>
      </c>
      <c r="I91" s="187"/>
      <c r="J91" s="189"/>
      <c r="K91" s="195">
        <f t="shared" si="6"/>
      </c>
      <c r="L91" s="13"/>
      <c r="M91" s="193"/>
      <c r="N91" s="21"/>
      <c r="O91" s="46">
        <f t="shared" si="4"/>
      </c>
      <c r="P91" s="3">
        <f t="shared" si="5"/>
      </c>
      <c r="Q91" s="46">
        <f>IF(ISNUMBER(P91),('Prices &amp; Rates'!$C$4/100)/(1-(1+'Prices &amp; Rates'!$C$4/100)^(-P91)),"")</f>
      </c>
      <c r="R91" s="179"/>
    </row>
    <row r="92" spans="1:18" ht="12.75">
      <c r="A92" s="55"/>
      <c r="B92" s="5"/>
      <c r="C92" s="42"/>
      <c r="D92" s="22"/>
      <c r="E92" s="43"/>
      <c r="F92" s="9"/>
      <c r="G92" s="187"/>
      <c r="H92" s="188">
        <f t="shared" si="7"/>
      </c>
      <c r="I92" s="187"/>
      <c r="J92" s="189"/>
      <c r="K92" s="195">
        <f t="shared" si="6"/>
      </c>
      <c r="L92" s="13"/>
      <c r="M92" s="193"/>
      <c r="N92" s="21"/>
      <c r="O92" s="46">
        <f t="shared" si="4"/>
      </c>
      <c r="P92" s="3">
        <f t="shared" si="5"/>
      </c>
      <c r="Q92" s="46">
        <f>IF(ISNUMBER(P92),('Prices &amp; Rates'!$C$4/100)/(1-(1+'Prices &amp; Rates'!$C$4/100)^(-P92)),"")</f>
      </c>
      <c r="R92" s="179"/>
    </row>
    <row r="93" spans="1:18" ht="12.75">
      <c r="A93" s="55"/>
      <c r="B93" s="5"/>
      <c r="C93" s="42"/>
      <c r="D93" s="22"/>
      <c r="E93" s="43"/>
      <c r="F93" s="9"/>
      <c r="G93" s="187"/>
      <c r="H93" s="188">
        <f t="shared" si="7"/>
      </c>
      <c r="I93" s="187"/>
      <c r="J93" s="189"/>
      <c r="K93" s="195">
        <f t="shared" si="6"/>
      </c>
      <c r="L93" s="13"/>
      <c r="M93" s="193"/>
      <c r="N93" s="21"/>
      <c r="O93" s="46">
        <f t="shared" si="4"/>
      </c>
      <c r="P93" s="3">
        <f t="shared" si="5"/>
      </c>
      <c r="Q93" s="46">
        <f>IF(ISNUMBER(P93),('Prices &amp; Rates'!$C$4/100)/(1-(1+'Prices &amp; Rates'!$C$4/100)^(-P93)),"")</f>
      </c>
      <c r="R93" s="179"/>
    </row>
    <row r="94" spans="1:18" ht="12.75">
      <c r="A94" s="55"/>
      <c r="B94" s="5"/>
      <c r="C94" s="42"/>
      <c r="D94" s="22"/>
      <c r="E94" s="43"/>
      <c r="F94" s="9"/>
      <c r="G94" s="187"/>
      <c r="H94" s="188">
        <f t="shared" si="7"/>
      </c>
      <c r="I94" s="187"/>
      <c r="J94" s="189"/>
      <c r="K94" s="195">
        <f t="shared" si="6"/>
      </c>
      <c r="L94" s="13"/>
      <c r="M94" s="193"/>
      <c r="N94" s="21"/>
      <c r="O94" s="46">
        <f t="shared" si="4"/>
      </c>
      <c r="P94" s="3">
        <f t="shared" si="5"/>
      </c>
      <c r="Q94" s="46">
        <f>IF(ISNUMBER(P94),('Prices &amp; Rates'!$C$4/100)/(1-(1+'Prices &amp; Rates'!$C$4/100)^(-P94)),"")</f>
      </c>
      <c r="R94" s="179"/>
    </row>
    <row r="95" spans="1:18" ht="12.75">
      <c r="A95" s="55"/>
      <c r="B95" s="5"/>
      <c r="C95" s="42"/>
      <c r="D95" s="22"/>
      <c r="E95" s="43"/>
      <c r="F95" s="9"/>
      <c r="G95" s="187"/>
      <c r="H95" s="188">
        <f t="shared" si="7"/>
      </c>
      <c r="I95" s="187"/>
      <c r="J95" s="189"/>
      <c r="K95" s="195">
        <f t="shared" si="6"/>
      </c>
      <c r="L95" s="13"/>
      <c r="M95" s="193"/>
      <c r="N95" s="21"/>
      <c r="O95" s="46">
        <f t="shared" si="4"/>
      </c>
      <c r="P95" s="3">
        <f t="shared" si="5"/>
      </c>
      <c r="Q95" s="46">
        <f>IF(ISNUMBER(P95),('Prices &amp; Rates'!$C$4/100)/(1-(1+'Prices &amp; Rates'!$C$4/100)^(-P95)),"")</f>
      </c>
      <c r="R95" s="179"/>
    </row>
    <row r="96" spans="1:18" ht="12.75">
      <c r="A96" s="55"/>
      <c r="B96" s="5"/>
      <c r="C96" s="42"/>
      <c r="D96" s="22"/>
      <c r="E96" s="43"/>
      <c r="F96" s="9"/>
      <c r="G96" s="187"/>
      <c r="H96" s="188">
        <f t="shared" si="7"/>
      </c>
      <c r="I96" s="187"/>
      <c r="J96" s="189"/>
      <c r="K96" s="195">
        <f t="shared" si="6"/>
      </c>
      <c r="L96" s="13"/>
      <c r="M96" s="193"/>
      <c r="N96" s="21"/>
      <c r="O96" s="46">
        <f t="shared" si="4"/>
      </c>
      <c r="P96" s="3">
        <f t="shared" si="5"/>
      </c>
      <c r="Q96" s="46">
        <f>IF(ISNUMBER(P96),('Prices &amp; Rates'!$C$4/100)/(1-(1+'Prices &amp; Rates'!$C$4/100)^(-P96)),"")</f>
      </c>
      <c r="R96" s="179"/>
    </row>
    <row r="97" spans="1:18" ht="12.75">
      <c r="A97" s="55"/>
      <c r="B97" s="5"/>
      <c r="C97" s="42"/>
      <c r="D97" s="22"/>
      <c r="E97" s="43"/>
      <c r="F97" s="9"/>
      <c r="G97" s="187"/>
      <c r="H97" s="188">
        <f t="shared" si="7"/>
      </c>
      <c r="I97" s="187"/>
      <c r="J97" s="189"/>
      <c r="K97" s="195">
        <f t="shared" si="6"/>
      </c>
      <c r="L97" s="13"/>
      <c r="M97" s="193"/>
      <c r="N97" s="21"/>
      <c r="O97" s="46">
        <f t="shared" si="4"/>
      </c>
      <c r="P97" s="3">
        <f t="shared" si="5"/>
      </c>
      <c r="Q97" s="46">
        <f>IF(ISNUMBER(P97),('Prices &amp; Rates'!$C$4/100)/(1-(1+'Prices &amp; Rates'!$C$4/100)^(-P97)),"")</f>
      </c>
      <c r="R97" s="179"/>
    </row>
    <row r="98" spans="1:18" ht="12.75">
      <c r="A98" s="55"/>
      <c r="B98" s="5"/>
      <c r="C98" s="42"/>
      <c r="D98" s="22"/>
      <c r="E98" s="43"/>
      <c r="F98" s="9"/>
      <c r="G98" s="187"/>
      <c r="H98" s="188">
        <f t="shared" si="7"/>
      </c>
      <c r="I98" s="187"/>
      <c r="J98" s="189"/>
      <c r="K98" s="195">
        <f t="shared" si="6"/>
      </c>
      <c r="L98" s="13"/>
      <c r="M98" s="193"/>
      <c r="N98" s="21"/>
      <c r="O98" s="46">
        <f t="shared" si="4"/>
      </c>
      <c r="P98" s="3">
        <f t="shared" si="5"/>
      </c>
      <c r="Q98" s="46">
        <f>IF(ISNUMBER(P98),('Prices &amp; Rates'!$C$4/100)/(1-(1+'Prices &amp; Rates'!$C$4/100)^(-P98)),"")</f>
      </c>
      <c r="R98" s="179"/>
    </row>
    <row r="99" spans="1:18" ht="12.75">
      <c r="A99" s="55"/>
      <c r="B99" s="5"/>
      <c r="C99" s="42"/>
      <c r="D99" s="22"/>
      <c r="E99" s="43"/>
      <c r="F99" s="9"/>
      <c r="G99" s="187"/>
      <c r="H99" s="188">
        <f t="shared" si="7"/>
      </c>
      <c r="I99" s="187"/>
      <c r="J99" s="189"/>
      <c r="K99" s="195">
        <f t="shared" si="6"/>
      </c>
      <c r="L99" s="13"/>
      <c r="M99" s="193"/>
      <c r="N99" s="21"/>
      <c r="O99" s="46">
        <f t="shared" si="4"/>
      </c>
      <c r="P99" s="3">
        <f t="shared" si="5"/>
      </c>
      <c r="Q99" s="46">
        <f>IF(ISNUMBER(P99),('Prices &amp; Rates'!$C$4/100)/(1-(1+'Prices &amp; Rates'!$C$4/100)^(-P99)),"")</f>
      </c>
      <c r="R99" s="179"/>
    </row>
    <row r="100" spans="1:18" ht="12.75">
      <c r="A100" s="55"/>
      <c r="B100" s="5"/>
      <c r="C100" s="42"/>
      <c r="D100" s="22"/>
      <c r="E100" s="43"/>
      <c r="F100" s="9"/>
      <c r="G100" s="187"/>
      <c r="H100" s="188">
        <f t="shared" si="7"/>
      </c>
      <c r="I100" s="187"/>
      <c r="J100" s="189"/>
      <c r="K100" s="195">
        <f t="shared" si="6"/>
      </c>
      <c r="L100" s="13"/>
      <c r="M100" s="193"/>
      <c r="N100" s="21"/>
      <c r="O100" s="46">
        <f t="shared" si="4"/>
      </c>
      <c r="P100" s="3">
        <f t="shared" si="5"/>
      </c>
      <c r="Q100" s="46">
        <f>IF(ISNUMBER(P100),('Prices &amp; Rates'!$C$4/100)/(1-(1+'Prices &amp; Rates'!$C$4/100)^(-P100)),"")</f>
      </c>
      <c r="R100" s="179"/>
    </row>
  </sheetData>
  <sheetProtection sheet="1" objects="1" scenarios="1"/>
  <mergeCells count="1">
    <mergeCell ref="M1:N1"/>
  </mergeCells>
  <printOptions/>
  <pageMargins left="0.75" right="0.75" top="1" bottom="1" header="0.5" footer="0.5"/>
  <pageSetup fitToHeight="1" fitToWidth="1" horizontalDpi="600" verticalDpi="600" orientation="portrait" scale="51" r:id="rId3"/>
  <legacyDrawing r:id="rId2"/>
</worksheet>
</file>

<file path=xl/worksheets/sheet4.xml><?xml version="1.0" encoding="utf-8"?>
<worksheet xmlns="http://schemas.openxmlformats.org/spreadsheetml/2006/main" xmlns:r="http://schemas.openxmlformats.org/officeDocument/2006/relationships">
  <sheetPr codeName="Sheet3"/>
  <dimension ref="A1:O50"/>
  <sheetViews>
    <sheetView workbookViewId="0" topLeftCell="A1">
      <pane xSplit="1" ySplit="3" topLeftCell="B4" activePane="bottomRight" state="frozen"/>
      <selection pane="topLeft" activeCell="G3" sqref="G3"/>
      <selection pane="topRight" activeCell="G3" sqref="G3"/>
      <selection pane="bottomLeft" activeCell="G3" sqref="G3"/>
      <selection pane="bottomRight" activeCell="O4" sqref="O4"/>
    </sheetView>
  </sheetViews>
  <sheetFormatPr defaultColWidth="9.140625" defaultRowHeight="12.75"/>
  <cols>
    <col min="1" max="1" width="13.7109375" style="169" bestFit="1" customWidth="1"/>
    <col min="2" max="2" width="8.140625" style="169" bestFit="1" customWidth="1"/>
    <col min="3" max="3" width="4.57421875" style="169" bestFit="1" customWidth="1"/>
    <col min="4" max="4" width="11.57421875" style="169" bestFit="1" customWidth="1"/>
    <col min="5" max="5" width="9.00390625" style="203" bestFit="1" customWidth="1"/>
    <col min="6" max="6" width="11.00390625" style="203" bestFit="1" customWidth="1"/>
    <col min="7" max="7" width="8.8515625" style="203" bestFit="1" customWidth="1"/>
    <col min="8" max="8" width="8.00390625" style="203" bestFit="1" customWidth="1"/>
    <col min="9" max="9" width="7.00390625" style="203" bestFit="1" customWidth="1"/>
    <col min="10" max="10" width="10.7109375" style="203" bestFit="1" customWidth="1"/>
    <col min="11" max="11" width="9.00390625" style="203" bestFit="1" customWidth="1"/>
    <col min="12" max="12" width="9.7109375" style="169" customWidth="1"/>
    <col min="13" max="13" width="9.140625" style="169" bestFit="1" customWidth="1"/>
    <col min="14" max="14" width="11.00390625" style="169" bestFit="1" customWidth="1"/>
    <col min="15" max="15" width="11.421875" style="181" customWidth="1"/>
    <col min="16" max="16384" width="9.140625" style="169" customWidth="1"/>
  </cols>
  <sheetData>
    <row r="1" spans="1:15" ht="12.75">
      <c r="A1" s="41" t="s">
        <v>100</v>
      </c>
      <c r="B1" s="14" t="s">
        <v>62</v>
      </c>
      <c r="C1" s="171" t="s">
        <v>14</v>
      </c>
      <c r="D1" s="7" t="s">
        <v>63</v>
      </c>
      <c r="E1" s="196" t="s">
        <v>15</v>
      </c>
      <c r="F1" s="197" t="s">
        <v>82</v>
      </c>
      <c r="G1" s="196" t="s">
        <v>57</v>
      </c>
      <c r="H1" s="197" t="s">
        <v>59</v>
      </c>
      <c r="I1" s="196" t="s">
        <v>35</v>
      </c>
      <c r="J1" s="197" t="s">
        <v>65</v>
      </c>
      <c r="K1" s="196" t="s">
        <v>65</v>
      </c>
      <c r="L1" s="7" t="s">
        <v>70</v>
      </c>
      <c r="M1" s="171" t="s">
        <v>72</v>
      </c>
      <c r="N1" s="7" t="s">
        <v>75</v>
      </c>
      <c r="O1" s="48" t="s">
        <v>171</v>
      </c>
    </row>
    <row r="2" spans="1:15" ht="12.75">
      <c r="A2" s="24"/>
      <c r="B2" s="14" t="s">
        <v>54</v>
      </c>
      <c r="C2" s="171"/>
      <c r="D2" s="7" t="s">
        <v>64</v>
      </c>
      <c r="E2" s="196"/>
      <c r="F2" s="197" t="s">
        <v>83</v>
      </c>
      <c r="G2" s="196" t="s">
        <v>58</v>
      </c>
      <c r="H2" s="197" t="s">
        <v>60</v>
      </c>
      <c r="I2" s="196"/>
      <c r="J2" s="197" t="s">
        <v>66</v>
      </c>
      <c r="K2" s="196" t="s">
        <v>38</v>
      </c>
      <c r="L2" s="7" t="s">
        <v>71</v>
      </c>
      <c r="M2" s="171" t="s">
        <v>71</v>
      </c>
      <c r="N2" s="7" t="s">
        <v>61</v>
      </c>
      <c r="O2" s="48" t="s">
        <v>206</v>
      </c>
    </row>
    <row r="3" spans="1:15" ht="12.75">
      <c r="A3" s="25"/>
      <c r="B3" s="15" t="s">
        <v>19</v>
      </c>
      <c r="C3" s="172"/>
      <c r="D3" s="8" t="s">
        <v>47</v>
      </c>
      <c r="E3" s="198" t="s">
        <v>76</v>
      </c>
      <c r="F3" s="199" t="s">
        <v>76</v>
      </c>
      <c r="G3" s="198" t="s">
        <v>22</v>
      </c>
      <c r="H3" s="199" t="s">
        <v>22</v>
      </c>
      <c r="I3" s="198" t="s">
        <v>22</v>
      </c>
      <c r="J3" s="199" t="s">
        <v>22</v>
      </c>
      <c r="K3" s="198" t="s">
        <v>22</v>
      </c>
      <c r="L3" s="8"/>
      <c r="M3" s="172"/>
      <c r="N3" s="8"/>
      <c r="O3" s="48" t="s">
        <v>10</v>
      </c>
    </row>
    <row r="4" spans="1:15" s="170" customFormat="1" ht="12.75">
      <c r="A4" s="26" t="s">
        <v>5</v>
      </c>
      <c r="B4" s="12">
        <v>35</v>
      </c>
      <c r="C4" s="58" t="s">
        <v>16</v>
      </c>
      <c r="D4" s="9">
        <v>14</v>
      </c>
      <c r="E4" s="200">
        <v>100000</v>
      </c>
      <c r="F4" s="201">
        <v>15000</v>
      </c>
      <c r="G4" s="200">
        <v>19000</v>
      </c>
      <c r="H4" s="202">
        <v>2100</v>
      </c>
      <c r="I4" s="200">
        <f>0.25*G4/(E4/F4)</f>
        <v>712.5</v>
      </c>
      <c r="J4" s="201">
        <v>50</v>
      </c>
      <c r="K4" s="200">
        <v>250</v>
      </c>
      <c r="L4" s="23">
        <f>IF(AND(ISNUMBER(E4),ISNUMBER(F4)),(E4/F4),"")</f>
        <v>6.666666666666667</v>
      </c>
      <c r="M4" s="56">
        <f>IF(ISNUMBER(L4),IF(L4&lt;20,L4,20),"")</f>
        <v>6.666666666666667</v>
      </c>
      <c r="N4" s="16">
        <f>IF(ISNUMBER(M4),(('Prices &amp; Rates'!C$4/100)/(1-(1+'Prices &amp; Rates'!C$4/100)^(-M4))),"")</f>
        <v>0.2126405997211495</v>
      </c>
      <c r="O4" s="180">
        <v>20</v>
      </c>
    </row>
    <row r="5" spans="1:15" s="170" customFormat="1" ht="12.75">
      <c r="A5" s="26" t="s">
        <v>209</v>
      </c>
      <c r="B5" s="12">
        <v>40</v>
      </c>
      <c r="C5" s="58" t="s">
        <v>17</v>
      </c>
      <c r="D5" s="9">
        <v>5</v>
      </c>
      <c r="E5" s="200">
        <v>150000</v>
      </c>
      <c r="F5" s="201">
        <v>5000</v>
      </c>
      <c r="G5" s="200">
        <v>70000</v>
      </c>
      <c r="H5" s="202">
        <f aca="true" t="shared" si="0" ref="H5:H50">IF(ISNUMBER(G5),0.2*G5,"")</f>
        <v>14000</v>
      </c>
      <c r="I5" s="200">
        <v>2000</v>
      </c>
      <c r="J5" s="201">
        <v>300</v>
      </c>
      <c r="K5" s="200">
        <v>250</v>
      </c>
      <c r="L5" s="23">
        <f>IF(AND(ISNUMBER(E5),ISNUMBER(F5)),(E5/F5),"")</f>
        <v>30</v>
      </c>
      <c r="M5" s="56">
        <f>IF(ISNUMBER(L5),IF(L5&lt;20,L5,20),"")</f>
        <v>20</v>
      </c>
      <c r="N5" s="16">
        <f>IF(ISNUMBER(M5),(('Prices &amp; Rates'!C$4/100)/(1-(1+'Prices &amp; Rates'!C$4/100)^(-M5))),"")</f>
        <v>0.11745962477254576</v>
      </c>
      <c r="O5" s="180">
        <v>10</v>
      </c>
    </row>
    <row r="6" spans="1:15" s="170" customFormat="1" ht="12.75">
      <c r="A6" s="26" t="s">
        <v>43</v>
      </c>
      <c r="B6" s="12">
        <v>15</v>
      </c>
      <c r="C6" s="58" t="s">
        <v>16</v>
      </c>
      <c r="D6" s="9">
        <v>35</v>
      </c>
      <c r="E6" s="200">
        <v>15000</v>
      </c>
      <c r="F6" s="201">
        <v>2200</v>
      </c>
      <c r="G6" s="200">
        <v>8700</v>
      </c>
      <c r="H6" s="202">
        <v>800</v>
      </c>
      <c r="I6" s="200">
        <f>0.25*G6/(E6/F6)</f>
        <v>319</v>
      </c>
      <c r="J6" s="201">
        <v>0</v>
      </c>
      <c r="K6" s="200">
        <v>0</v>
      </c>
      <c r="L6" s="23">
        <f aca="true" t="shared" si="1" ref="L6:L12">IF(AND(ISNUMBER(E6),ISNUMBER(F6)),(E6/F6),"")</f>
        <v>6.818181818181818</v>
      </c>
      <c r="M6" s="56">
        <f aca="true" t="shared" si="2" ref="M6:M50">IF(ISNUMBER(L6),IF(L6&lt;20,L6,20),"")</f>
        <v>6.818181818181818</v>
      </c>
      <c r="N6" s="16">
        <f>IF(ISNUMBER(M6),(('Prices &amp; Rates'!C$4/100)/(1-(1+'Prices &amp; Rates'!C$4/100)^(-M6))),"")</f>
        <v>0.2092611431863868</v>
      </c>
      <c r="O6" s="180">
        <v>50</v>
      </c>
    </row>
    <row r="7" spans="1:15" ht="12.75">
      <c r="A7" s="26"/>
      <c r="B7" s="11"/>
      <c r="C7" s="58"/>
      <c r="D7" s="5"/>
      <c r="E7" s="187"/>
      <c r="F7" s="189"/>
      <c r="G7" s="187"/>
      <c r="H7" s="202">
        <f t="shared" si="0"/>
      </c>
      <c r="I7" s="187"/>
      <c r="J7" s="189"/>
      <c r="K7" s="187"/>
      <c r="L7" s="23">
        <f>IF(AND(ISNUMBER(E7),ISNUMBER(F7)),(E7/F7),"")</f>
      </c>
      <c r="M7" s="56">
        <f t="shared" si="2"/>
      </c>
      <c r="N7" s="16">
        <f>IF(ISNUMBER(M7),(('Prices &amp; Rates'!C$4/100)/(1-(1+'Prices &amp; Rates'!C$4/100)^(-M7))),"")</f>
      </c>
      <c r="O7" s="180"/>
    </row>
    <row r="8" spans="1:15" ht="12.75">
      <c r="A8" s="26"/>
      <c r="B8" s="11"/>
      <c r="C8" s="43"/>
      <c r="D8" s="5"/>
      <c r="E8" s="187"/>
      <c r="F8" s="189"/>
      <c r="G8" s="187"/>
      <c r="H8" s="202">
        <f t="shared" si="0"/>
      </c>
      <c r="I8" s="187"/>
      <c r="J8" s="189"/>
      <c r="K8" s="187"/>
      <c r="L8" s="23">
        <f t="shared" si="1"/>
      </c>
      <c r="M8" s="56">
        <f t="shared" si="2"/>
      </c>
      <c r="N8" s="3">
        <f>IF(ISNUMBER(M8),(('Prices &amp; Rates'!C$4/100)/(1-(1+'Prices &amp; Rates'!C$4/100)^(-M8))),"")</f>
      </c>
      <c r="O8" s="180"/>
    </row>
    <row r="9" spans="1:15" ht="12.75">
      <c r="A9" s="26"/>
      <c r="B9" s="11"/>
      <c r="C9" s="43"/>
      <c r="D9" s="5"/>
      <c r="E9" s="187"/>
      <c r="F9" s="189"/>
      <c r="G9" s="187"/>
      <c r="H9" s="202">
        <f t="shared" si="0"/>
      </c>
      <c r="I9" s="187"/>
      <c r="J9" s="189"/>
      <c r="K9" s="187"/>
      <c r="L9" s="23">
        <f t="shared" si="1"/>
      </c>
      <c r="M9" s="56">
        <f t="shared" si="2"/>
      </c>
      <c r="N9" s="3">
        <f>IF(ISNUMBER(M9),(('Prices &amp; Rates'!C$4/100)/(1-(1+'Prices &amp; Rates'!C$4/100)^(-M9))),"")</f>
      </c>
      <c r="O9" s="180"/>
    </row>
    <row r="10" spans="1:15" ht="12.75">
      <c r="A10" s="26"/>
      <c r="B10" s="11"/>
      <c r="C10" s="43"/>
      <c r="D10" s="5"/>
      <c r="E10" s="187"/>
      <c r="F10" s="189"/>
      <c r="G10" s="187"/>
      <c r="H10" s="202">
        <f t="shared" si="0"/>
      </c>
      <c r="I10" s="187"/>
      <c r="J10" s="189"/>
      <c r="K10" s="187"/>
      <c r="L10" s="23">
        <f t="shared" si="1"/>
      </c>
      <c r="M10" s="56">
        <f t="shared" si="2"/>
      </c>
      <c r="N10" s="3">
        <f>IF(ISNUMBER(M10),(('Prices &amp; Rates'!C$4/100)/(1-(1+'Prices &amp; Rates'!C$4/100)^(-M10))),"")</f>
      </c>
      <c r="O10" s="180"/>
    </row>
    <row r="11" spans="1:15" ht="12.75">
      <c r="A11" s="26"/>
      <c r="B11" s="11"/>
      <c r="C11" s="43"/>
      <c r="D11" s="5"/>
      <c r="E11" s="187"/>
      <c r="F11" s="189"/>
      <c r="G11" s="187"/>
      <c r="H11" s="202">
        <f t="shared" si="0"/>
      </c>
      <c r="I11" s="187"/>
      <c r="J11" s="189"/>
      <c r="K11" s="187"/>
      <c r="L11" s="23">
        <f t="shared" si="1"/>
      </c>
      <c r="M11" s="56">
        <f t="shared" si="2"/>
      </c>
      <c r="N11" s="3">
        <f>IF(ISNUMBER(M11),(('Prices &amp; Rates'!C$4/100)/(1-(1+'Prices &amp; Rates'!C$4/100)^(-M11))),"")</f>
      </c>
      <c r="O11" s="180"/>
    </row>
    <row r="12" spans="1:15" ht="12.75">
      <c r="A12" s="26"/>
      <c r="B12" s="11"/>
      <c r="C12" s="43"/>
      <c r="D12" s="5"/>
      <c r="E12" s="187"/>
      <c r="F12" s="189"/>
      <c r="G12" s="187"/>
      <c r="H12" s="202">
        <f t="shared" si="0"/>
      </c>
      <c r="I12" s="187"/>
      <c r="J12" s="189"/>
      <c r="K12" s="187"/>
      <c r="L12" s="23">
        <f t="shared" si="1"/>
      </c>
      <c r="M12" s="56">
        <f t="shared" si="2"/>
      </c>
      <c r="N12" s="3">
        <f>IF(ISNUMBER(M12),(('Prices &amp; Rates'!C$4/100)/(1-(1+'Prices &amp; Rates'!C$4/100)^(-M12))),"")</f>
      </c>
      <c r="O12" s="180"/>
    </row>
    <row r="13" spans="1:15" ht="12.75">
      <c r="A13" s="26"/>
      <c r="B13" s="11"/>
      <c r="C13" s="43"/>
      <c r="D13" s="5"/>
      <c r="E13" s="187"/>
      <c r="F13" s="189"/>
      <c r="G13" s="187"/>
      <c r="H13" s="202">
        <f t="shared" si="0"/>
      </c>
      <c r="I13" s="187"/>
      <c r="J13" s="189"/>
      <c r="K13" s="187"/>
      <c r="L13" s="23">
        <f aca="true" t="shared" si="3" ref="L13:L50">IF(AND(ISNUMBER(E13),ISNUMBER(F13)),(E13/F13),"")</f>
      </c>
      <c r="M13" s="56">
        <f t="shared" si="2"/>
      </c>
      <c r="N13" s="3">
        <f>IF(ISNUMBER(M13),(('Prices &amp; Rates'!C$4/100)/(1-(1+'Prices &amp; Rates'!C$4/100)^(-M13))),"")</f>
      </c>
      <c r="O13" s="180"/>
    </row>
    <row r="14" spans="1:15" ht="12.75">
      <c r="A14" s="26"/>
      <c r="B14" s="11"/>
      <c r="C14" s="43"/>
      <c r="D14" s="5"/>
      <c r="E14" s="187"/>
      <c r="F14" s="189"/>
      <c r="G14" s="187"/>
      <c r="H14" s="202">
        <f t="shared" si="0"/>
      </c>
      <c r="I14" s="187"/>
      <c r="J14" s="189"/>
      <c r="K14" s="187"/>
      <c r="L14" s="23">
        <f t="shared" si="3"/>
      </c>
      <c r="M14" s="56">
        <f t="shared" si="2"/>
      </c>
      <c r="N14" s="3">
        <f>IF(ISNUMBER(M14),(('Prices &amp; Rates'!C$4/100)/(1-(1+'Prices &amp; Rates'!C$4/100)^(-M14))),"")</f>
      </c>
      <c r="O14" s="180"/>
    </row>
    <row r="15" spans="1:15" ht="12.75">
      <c r="A15" s="26"/>
      <c r="B15" s="11"/>
      <c r="C15" s="43"/>
      <c r="D15" s="5"/>
      <c r="E15" s="187"/>
      <c r="F15" s="189"/>
      <c r="G15" s="187"/>
      <c r="H15" s="202">
        <f t="shared" si="0"/>
      </c>
      <c r="I15" s="187"/>
      <c r="J15" s="189"/>
      <c r="K15" s="187"/>
      <c r="L15" s="23">
        <f t="shared" si="3"/>
      </c>
      <c r="M15" s="56">
        <f t="shared" si="2"/>
      </c>
      <c r="N15" s="3">
        <f>IF(ISNUMBER(M15),(('Prices &amp; Rates'!C$4/100)/(1-(1+'Prices &amp; Rates'!C$4/100)^(-M15))),"")</f>
      </c>
      <c r="O15" s="180"/>
    </row>
    <row r="16" spans="1:15" ht="12.75">
      <c r="A16" s="26"/>
      <c r="B16" s="11"/>
      <c r="C16" s="43"/>
      <c r="D16" s="5"/>
      <c r="E16" s="187"/>
      <c r="F16" s="189"/>
      <c r="G16" s="187"/>
      <c r="H16" s="202">
        <f t="shared" si="0"/>
      </c>
      <c r="I16" s="187"/>
      <c r="J16" s="189"/>
      <c r="K16" s="187"/>
      <c r="L16" s="23">
        <f t="shared" si="3"/>
      </c>
      <c r="M16" s="56">
        <f t="shared" si="2"/>
      </c>
      <c r="N16" s="3">
        <f>IF(ISNUMBER(M16),(('Prices &amp; Rates'!C$4/100)/(1-(1+'Prices &amp; Rates'!C$4/100)^(-M16))),"")</f>
      </c>
      <c r="O16" s="180"/>
    </row>
    <row r="17" spans="1:15" ht="12.75">
      <c r="A17" s="26"/>
      <c r="B17" s="11"/>
      <c r="C17" s="43"/>
      <c r="D17" s="5"/>
      <c r="E17" s="187"/>
      <c r="F17" s="189"/>
      <c r="G17" s="187"/>
      <c r="H17" s="202">
        <f t="shared" si="0"/>
      </c>
      <c r="I17" s="187"/>
      <c r="J17" s="189"/>
      <c r="K17" s="187"/>
      <c r="L17" s="23">
        <f t="shared" si="3"/>
      </c>
      <c r="M17" s="56">
        <f t="shared" si="2"/>
      </c>
      <c r="N17" s="3">
        <f>IF(ISNUMBER(M17),(('Prices &amp; Rates'!C$4/100)/(1-(1+'Prices &amp; Rates'!C$4/100)^(-M17))),"")</f>
      </c>
      <c r="O17" s="180"/>
    </row>
    <row r="18" spans="1:15" ht="12.75">
      <c r="A18" s="26"/>
      <c r="B18" s="11"/>
      <c r="C18" s="43"/>
      <c r="D18" s="5"/>
      <c r="E18" s="187"/>
      <c r="F18" s="189"/>
      <c r="G18" s="187"/>
      <c r="H18" s="202">
        <f t="shared" si="0"/>
      </c>
      <c r="I18" s="187"/>
      <c r="J18" s="189"/>
      <c r="K18" s="187"/>
      <c r="L18" s="23">
        <f t="shared" si="3"/>
      </c>
      <c r="M18" s="56">
        <f t="shared" si="2"/>
      </c>
      <c r="N18" s="3">
        <f>IF(ISNUMBER(M18),(('Prices &amp; Rates'!C$4/100)/(1-(1+'Prices &amp; Rates'!C$4/100)^(-M18))),"")</f>
      </c>
      <c r="O18" s="180"/>
    </row>
    <row r="19" spans="1:15" ht="12.75">
      <c r="A19" s="26"/>
      <c r="B19" s="11"/>
      <c r="C19" s="43"/>
      <c r="D19" s="5"/>
      <c r="E19" s="187"/>
      <c r="F19" s="189"/>
      <c r="G19" s="187"/>
      <c r="H19" s="202">
        <f t="shared" si="0"/>
      </c>
      <c r="I19" s="187"/>
      <c r="J19" s="189"/>
      <c r="K19" s="187"/>
      <c r="L19" s="23">
        <f t="shared" si="3"/>
      </c>
      <c r="M19" s="56">
        <f t="shared" si="2"/>
      </c>
      <c r="N19" s="3">
        <f>IF(ISNUMBER(M19),(('Prices &amp; Rates'!C$4/100)/(1-(1+'Prices &amp; Rates'!C$4/100)^(-M19))),"")</f>
      </c>
      <c r="O19" s="180"/>
    </row>
    <row r="20" spans="1:15" ht="12.75">
      <c r="A20" s="26"/>
      <c r="B20" s="11"/>
      <c r="C20" s="43"/>
      <c r="D20" s="5"/>
      <c r="E20" s="187"/>
      <c r="F20" s="189"/>
      <c r="G20" s="187"/>
      <c r="H20" s="202">
        <f t="shared" si="0"/>
      </c>
      <c r="I20" s="187"/>
      <c r="J20" s="189"/>
      <c r="K20" s="187"/>
      <c r="L20" s="23">
        <f t="shared" si="3"/>
      </c>
      <c r="M20" s="56">
        <f t="shared" si="2"/>
      </c>
      <c r="N20" s="3">
        <f>IF(ISNUMBER(M20),(('Prices &amp; Rates'!C$4/100)/(1-(1+'Prices &amp; Rates'!C$4/100)^(-M20))),"")</f>
      </c>
      <c r="O20" s="180"/>
    </row>
    <row r="21" spans="1:15" ht="12.75">
      <c r="A21" s="26"/>
      <c r="B21" s="11"/>
      <c r="C21" s="43"/>
      <c r="D21" s="5"/>
      <c r="E21" s="187"/>
      <c r="F21" s="189"/>
      <c r="G21" s="187"/>
      <c r="H21" s="202">
        <f t="shared" si="0"/>
      </c>
      <c r="I21" s="187"/>
      <c r="J21" s="189"/>
      <c r="K21" s="187"/>
      <c r="L21" s="23">
        <f t="shared" si="3"/>
      </c>
      <c r="M21" s="56">
        <f t="shared" si="2"/>
      </c>
      <c r="N21" s="3">
        <f>IF(ISNUMBER(M21),(('Prices &amp; Rates'!C$4/100)/(1-(1+'Prices &amp; Rates'!C$4/100)^(-M21))),"")</f>
      </c>
      <c r="O21" s="180"/>
    </row>
    <row r="22" spans="1:15" ht="12.75">
      <c r="A22" s="26"/>
      <c r="B22" s="11"/>
      <c r="C22" s="43"/>
      <c r="D22" s="5"/>
      <c r="E22" s="187"/>
      <c r="F22" s="189"/>
      <c r="G22" s="187"/>
      <c r="H22" s="202">
        <f t="shared" si="0"/>
      </c>
      <c r="I22" s="187"/>
      <c r="J22" s="189"/>
      <c r="K22" s="187"/>
      <c r="L22" s="23">
        <f t="shared" si="3"/>
      </c>
      <c r="M22" s="56">
        <f t="shared" si="2"/>
      </c>
      <c r="N22" s="3">
        <f>IF(ISNUMBER(M22),(('Prices &amp; Rates'!C$4/100)/(1-(1+'Prices &amp; Rates'!C$4/100)^(-M22))),"")</f>
      </c>
      <c r="O22" s="180"/>
    </row>
    <row r="23" spans="1:15" ht="12.75">
      <c r="A23" s="26"/>
      <c r="B23" s="11"/>
      <c r="C23" s="43"/>
      <c r="D23" s="5"/>
      <c r="E23" s="187"/>
      <c r="F23" s="189"/>
      <c r="G23" s="187"/>
      <c r="H23" s="202">
        <f t="shared" si="0"/>
      </c>
      <c r="I23" s="187"/>
      <c r="J23" s="189"/>
      <c r="K23" s="187"/>
      <c r="L23" s="23">
        <f t="shared" si="3"/>
      </c>
      <c r="M23" s="56">
        <f t="shared" si="2"/>
      </c>
      <c r="N23" s="3">
        <f>IF(ISNUMBER(M23),(('Prices &amp; Rates'!C$4/100)/(1-(1+'Prices &amp; Rates'!C$4/100)^(-M23))),"")</f>
      </c>
      <c r="O23" s="180"/>
    </row>
    <row r="24" spans="1:15" ht="12.75">
      <c r="A24" s="26"/>
      <c r="B24" s="11"/>
      <c r="C24" s="43"/>
      <c r="D24" s="5"/>
      <c r="E24" s="187"/>
      <c r="F24" s="189"/>
      <c r="G24" s="187"/>
      <c r="H24" s="202">
        <f t="shared" si="0"/>
      </c>
      <c r="I24" s="187"/>
      <c r="J24" s="189"/>
      <c r="K24" s="187"/>
      <c r="L24" s="23">
        <f t="shared" si="3"/>
      </c>
      <c r="M24" s="56">
        <f t="shared" si="2"/>
      </c>
      <c r="N24" s="3">
        <f>IF(ISNUMBER(M24),(('Prices &amp; Rates'!C$4/100)/(1-(1+'Prices &amp; Rates'!C$4/100)^(-M24))),"")</f>
      </c>
      <c r="O24" s="180"/>
    </row>
    <row r="25" spans="1:15" ht="12.75">
      <c r="A25" s="26"/>
      <c r="B25" s="11"/>
      <c r="C25" s="43"/>
      <c r="D25" s="5"/>
      <c r="E25" s="187"/>
      <c r="F25" s="189"/>
      <c r="G25" s="187"/>
      <c r="H25" s="202">
        <f t="shared" si="0"/>
      </c>
      <c r="I25" s="187"/>
      <c r="J25" s="189"/>
      <c r="K25" s="187"/>
      <c r="L25" s="23">
        <f t="shared" si="3"/>
      </c>
      <c r="M25" s="56">
        <f t="shared" si="2"/>
      </c>
      <c r="N25" s="3">
        <f>IF(ISNUMBER(M25),(('Prices &amp; Rates'!C$4/100)/(1-(1+'Prices &amp; Rates'!C$4/100)^(-M25))),"")</f>
      </c>
      <c r="O25" s="180"/>
    </row>
    <row r="26" spans="1:15" ht="12.75">
      <c r="A26" s="26"/>
      <c r="B26" s="11"/>
      <c r="C26" s="43"/>
      <c r="D26" s="5"/>
      <c r="E26" s="187"/>
      <c r="F26" s="189"/>
      <c r="G26" s="187"/>
      <c r="H26" s="202">
        <f t="shared" si="0"/>
      </c>
      <c r="I26" s="187"/>
      <c r="J26" s="189"/>
      <c r="K26" s="187"/>
      <c r="L26" s="23">
        <f t="shared" si="3"/>
      </c>
      <c r="M26" s="56">
        <f t="shared" si="2"/>
      </c>
      <c r="N26" s="3">
        <f>IF(ISNUMBER(M26),(('Prices &amp; Rates'!C$4/100)/(1-(1+'Prices &amp; Rates'!C$4/100)^(-M26))),"")</f>
      </c>
      <c r="O26" s="180"/>
    </row>
    <row r="27" spans="1:15" ht="12.75">
      <c r="A27" s="26"/>
      <c r="B27" s="11"/>
      <c r="C27" s="43"/>
      <c r="D27" s="5"/>
      <c r="E27" s="187"/>
      <c r="F27" s="189"/>
      <c r="G27" s="187"/>
      <c r="H27" s="202">
        <f t="shared" si="0"/>
      </c>
      <c r="I27" s="187"/>
      <c r="J27" s="189"/>
      <c r="K27" s="187"/>
      <c r="L27" s="23">
        <f t="shared" si="3"/>
      </c>
      <c r="M27" s="56">
        <f t="shared" si="2"/>
      </c>
      <c r="N27" s="3">
        <f>IF(ISNUMBER(M27),(('Prices &amp; Rates'!C$4/100)/(1-(1+'Prices &amp; Rates'!C$4/100)^(-M27))),"")</f>
      </c>
      <c r="O27" s="180"/>
    </row>
    <row r="28" spans="1:15" ht="12.75">
      <c r="A28" s="26"/>
      <c r="B28" s="11"/>
      <c r="C28" s="43"/>
      <c r="D28" s="5"/>
      <c r="E28" s="187"/>
      <c r="F28" s="189"/>
      <c r="G28" s="187"/>
      <c r="H28" s="202">
        <f t="shared" si="0"/>
      </c>
      <c r="I28" s="187"/>
      <c r="J28" s="189"/>
      <c r="K28" s="187"/>
      <c r="L28" s="23">
        <f t="shared" si="3"/>
      </c>
      <c r="M28" s="56">
        <f t="shared" si="2"/>
      </c>
      <c r="N28" s="3">
        <f>IF(ISNUMBER(M28),(('Prices &amp; Rates'!C$4/100)/(1-(1+'Prices &amp; Rates'!C$4/100)^(-M28))),"")</f>
      </c>
      <c r="O28" s="180"/>
    </row>
    <row r="29" spans="1:15" ht="12.75">
      <c r="A29" s="26"/>
      <c r="B29" s="11"/>
      <c r="C29" s="43"/>
      <c r="D29" s="5"/>
      <c r="E29" s="187"/>
      <c r="F29" s="189"/>
      <c r="G29" s="187"/>
      <c r="H29" s="202">
        <f t="shared" si="0"/>
      </c>
      <c r="I29" s="187"/>
      <c r="J29" s="189"/>
      <c r="K29" s="187"/>
      <c r="L29" s="23">
        <f t="shared" si="3"/>
      </c>
      <c r="M29" s="56">
        <f t="shared" si="2"/>
      </c>
      <c r="N29" s="3">
        <f>IF(ISNUMBER(M29),(('Prices &amp; Rates'!C$4/100)/(1-(1+'Prices &amp; Rates'!C$4/100)^(-M29))),"")</f>
      </c>
      <c r="O29" s="180"/>
    </row>
    <row r="30" spans="1:15" ht="12.75">
      <c r="A30" s="26"/>
      <c r="B30" s="11"/>
      <c r="C30" s="43"/>
      <c r="D30" s="5"/>
      <c r="E30" s="187"/>
      <c r="F30" s="189"/>
      <c r="G30" s="187"/>
      <c r="H30" s="202">
        <f t="shared" si="0"/>
      </c>
      <c r="I30" s="187"/>
      <c r="J30" s="189"/>
      <c r="K30" s="187"/>
      <c r="L30" s="23">
        <f t="shared" si="3"/>
      </c>
      <c r="M30" s="56">
        <f t="shared" si="2"/>
      </c>
      <c r="N30" s="3">
        <f>IF(ISNUMBER(M30),(('Prices &amp; Rates'!C$4/100)/(1-(1+'Prices &amp; Rates'!C$4/100)^(-M30))),"")</f>
      </c>
      <c r="O30" s="180"/>
    </row>
    <row r="31" spans="1:15" ht="12.75">
      <c r="A31" s="26"/>
      <c r="B31" s="11"/>
      <c r="C31" s="43"/>
      <c r="D31" s="5"/>
      <c r="E31" s="187"/>
      <c r="F31" s="189"/>
      <c r="G31" s="187"/>
      <c r="H31" s="202">
        <f t="shared" si="0"/>
      </c>
      <c r="I31" s="187"/>
      <c r="J31" s="189"/>
      <c r="K31" s="187"/>
      <c r="L31" s="23">
        <f t="shared" si="3"/>
      </c>
      <c r="M31" s="56">
        <f t="shared" si="2"/>
      </c>
      <c r="N31" s="3">
        <f>IF(ISNUMBER(M31),(('Prices &amp; Rates'!C$4/100)/(1-(1+'Prices &amp; Rates'!C$4/100)^(-M31))),"")</f>
      </c>
      <c r="O31" s="180"/>
    </row>
    <row r="32" spans="1:15" ht="12.75">
      <c r="A32" s="26"/>
      <c r="B32" s="11"/>
      <c r="C32" s="43"/>
      <c r="D32" s="5"/>
      <c r="E32" s="187"/>
      <c r="F32" s="189"/>
      <c r="G32" s="187"/>
      <c r="H32" s="202">
        <f t="shared" si="0"/>
      </c>
      <c r="I32" s="187"/>
      <c r="J32" s="189"/>
      <c r="K32" s="187"/>
      <c r="L32" s="23">
        <f t="shared" si="3"/>
      </c>
      <c r="M32" s="56">
        <f t="shared" si="2"/>
      </c>
      <c r="N32" s="3">
        <f>IF(ISNUMBER(M32),(('Prices &amp; Rates'!C$4/100)/(1-(1+'Prices &amp; Rates'!C$4/100)^(-M32))),"")</f>
      </c>
      <c r="O32" s="180"/>
    </row>
    <row r="33" spans="1:15" ht="12.75">
      <c r="A33" s="26"/>
      <c r="B33" s="11"/>
      <c r="C33" s="43"/>
      <c r="D33" s="5"/>
      <c r="E33" s="187"/>
      <c r="F33" s="189"/>
      <c r="G33" s="187"/>
      <c r="H33" s="202">
        <f t="shared" si="0"/>
      </c>
      <c r="I33" s="187"/>
      <c r="J33" s="189"/>
      <c r="K33" s="187"/>
      <c r="L33" s="23">
        <f t="shared" si="3"/>
      </c>
      <c r="M33" s="56">
        <f t="shared" si="2"/>
      </c>
      <c r="N33" s="3">
        <f>IF(ISNUMBER(M33),(('Prices &amp; Rates'!C$4/100)/(1-(1+'Prices &amp; Rates'!C$4/100)^(-M33))),"")</f>
      </c>
      <c r="O33" s="180"/>
    </row>
    <row r="34" spans="1:15" ht="12.75">
      <c r="A34" s="26"/>
      <c r="B34" s="11"/>
      <c r="C34" s="43"/>
      <c r="D34" s="5"/>
      <c r="E34" s="187"/>
      <c r="F34" s="189"/>
      <c r="G34" s="187"/>
      <c r="H34" s="202">
        <f t="shared" si="0"/>
      </c>
      <c r="I34" s="187"/>
      <c r="J34" s="189"/>
      <c r="K34" s="187"/>
      <c r="L34" s="23">
        <f t="shared" si="3"/>
      </c>
      <c r="M34" s="56">
        <f t="shared" si="2"/>
      </c>
      <c r="N34" s="3">
        <f>IF(ISNUMBER(M34),(('Prices &amp; Rates'!C$4/100)/(1-(1+'Prices &amp; Rates'!C$4/100)^(-M34))),"")</f>
      </c>
      <c r="O34" s="180"/>
    </row>
    <row r="35" spans="1:15" ht="12.75">
      <c r="A35" s="26"/>
      <c r="B35" s="11"/>
      <c r="C35" s="43"/>
      <c r="D35" s="5"/>
      <c r="E35" s="187"/>
      <c r="F35" s="189"/>
      <c r="G35" s="187"/>
      <c r="H35" s="202">
        <f t="shared" si="0"/>
      </c>
      <c r="I35" s="187"/>
      <c r="J35" s="189"/>
      <c r="K35" s="187"/>
      <c r="L35" s="23">
        <f t="shared" si="3"/>
      </c>
      <c r="M35" s="56">
        <f t="shared" si="2"/>
      </c>
      <c r="N35" s="3">
        <f>IF(ISNUMBER(M35),(('Prices &amp; Rates'!C$4/100)/(1-(1+'Prices &amp; Rates'!C$4/100)^(-M35))),"")</f>
      </c>
      <c r="O35" s="180"/>
    </row>
    <row r="36" spans="1:15" ht="12.75">
      <c r="A36" s="26"/>
      <c r="B36" s="11"/>
      <c r="C36" s="43"/>
      <c r="D36" s="5"/>
      <c r="E36" s="187"/>
      <c r="F36" s="189"/>
      <c r="G36" s="187"/>
      <c r="H36" s="202">
        <f t="shared" si="0"/>
      </c>
      <c r="I36" s="187"/>
      <c r="J36" s="189"/>
      <c r="K36" s="187"/>
      <c r="L36" s="23">
        <f t="shared" si="3"/>
      </c>
      <c r="M36" s="56">
        <f t="shared" si="2"/>
      </c>
      <c r="N36" s="3">
        <f>IF(ISNUMBER(M36),(('Prices &amp; Rates'!C$4/100)/(1-(1+'Prices &amp; Rates'!C$4/100)^(-M36))),"")</f>
      </c>
      <c r="O36" s="180"/>
    </row>
    <row r="37" spans="1:15" ht="12.75">
      <c r="A37" s="26"/>
      <c r="B37" s="11"/>
      <c r="C37" s="43"/>
      <c r="D37" s="5"/>
      <c r="E37" s="187"/>
      <c r="F37" s="189"/>
      <c r="G37" s="187"/>
      <c r="H37" s="202">
        <f t="shared" si="0"/>
      </c>
      <c r="I37" s="187"/>
      <c r="J37" s="189"/>
      <c r="K37" s="187"/>
      <c r="L37" s="23">
        <f t="shared" si="3"/>
      </c>
      <c r="M37" s="56">
        <f t="shared" si="2"/>
      </c>
      <c r="N37" s="3">
        <f>IF(ISNUMBER(M37),(('Prices &amp; Rates'!C$4/100)/(1-(1+'Prices &amp; Rates'!C$4/100)^(-M37))),"")</f>
      </c>
      <c r="O37" s="180"/>
    </row>
    <row r="38" spans="1:15" ht="12.75">
      <c r="A38" s="26"/>
      <c r="B38" s="11"/>
      <c r="C38" s="43"/>
      <c r="D38" s="5"/>
      <c r="E38" s="187"/>
      <c r="F38" s="189"/>
      <c r="G38" s="187"/>
      <c r="H38" s="202">
        <f t="shared" si="0"/>
      </c>
      <c r="I38" s="187"/>
      <c r="J38" s="189"/>
      <c r="K38" s="187"/>
      <c r="L38" s="23">
        <f t="shared" si="3"/>
      </c>
      <c r="M38" s="56">
        <f t="shared" si="2"/>
      </c>
      <c r="N38" s="3">
        <f>IF(ISNUMBER(M38),(('Prices &amp; Rates'!C$4/100)/(1-(1+'Prices &amp; Rates'!C$4/100)^(-M38))),"")</f>
      </c>
      <c r="O38" s="180"/>
    </row>
    <row r="39" spans="1:15" ht="12.75">
      <c r="A39" s="26"/>
      <c r="B39" s="11"/>
      <c r="C39" s="43"/>
      <c r="D39" s="5"/>
      <c r="E39" s="187"/>
      <c r="F39" s="189"/>
      <c r="G39" s="187"/>
      <c r="H39" s="202">
        <f t="shared" si="0"/>
      </c>
      <c r="I39" s="187"/>
      <c r="J39" s="189"/>
      <c r="K39" s="187"/>
      <c r="L39" s="23">
        <f t="shared" si="3"/>
      </c>
      <c r="M39" s="56">
        <f t="shared" si="2"/>
      </c>
      <c r="N39" s="3">
        <f>IF(ISNUMBER(M39),(('Prices &amp; Rates'!C$4/100)/(1-(1+'Prices &amp; Rates'!C$4/100)^(-M39))),"")</f>
      </c>
      <c r="O39" s="180"/>
    </row>
    <row r="40" spans="1:15" ht="12.75">
      <c r="A40" s="26"/>
      <c r="B40" s="11"/>
      <c r="C40" s="43"/>
      <c r="D40" s="5"/>
      <c r="E40" s="187"/>
      <c r="F40" s="189"/>
      <c r="G40" s="187"/>
      <c r="H40" s="202">
        <f t="shared" si="0"/>
      </c>
      <c r="I40" s="187"/>
      <c r="J40" s="189"/>
      <c r="K40" s="187"/>
      <c r="L40" s="23">
        <f t="shared" si="3"/>
      </c>
      <c r="M40" s="56">
        <f t="shared" si="2"/>
      </c>
      <c r="N40" s="3">
        <f>IF(ISNUMBER(M40),(('Prices &amp; Rates'!C$4/100)/(1-(1+'Prices &amp; Rates'!C$4/100)^(-M40))),"")</f>
      </c>
      <c r="O40" s="180"/>
    </row>
    <row r="41" spans="1:15" ht="12.75">
      <c r="A41" s="26"/>
      <c r="B41" s="11"/>
      <c r="C41" s="43"/>
      <c r="D41" s="5"/>
      <c r="E41" s="187"/>
      <c r="F41" s="189"/>
      <c r="G41" s="187"/>
      <c r="H41" s="202">
        <f t="shared" si="0"/>
      </c>
      <c r="I41" s="187"/>
      <c r="J41" s="189"/>
      <c r="K41" s="187"/>
      <c r="L41" s="23">
        <f t="shared" si="3"/>
      </c>
      <c r="M41" s="56">
        <f t="shared" si="2"/>
      </c>
      <c r="N41" s="3">
        <f>IF(ISNUMBER(M41),(('Prices &amp; Rates'!C$4/100)/(1-(1+'Prices &amp; Rates'!C$4/100)^(-M41))),"")</f>
      </c>
      <c r="O41" s="180"/>
    </row>
    <row r="42" spans="1:15" ht="12.75">
      <c r="A42" s="26"/>
      <c r="B42" s="11"/>
      <c r="C42" s="43"/>
      <c r="D42" s="5"/>
      <c r="E42" s="187"/>
      <c r="F42" s="189"/>
      <c r="G42" s="187"/>
      <c r="H42" s="202">
        <f t="shared" si="0"/>
      </c>
      <c r="I42" s="187"/>
      <c r="J42" s="189"/>
      <c r="K42" s="187"/>
      <c r="L42" s="23">
        <f t="shared" si="3"/>
      </c>
      <c r="M42" s="56">
        <f t="shared" si="2"/>
      </c>
      <c r="N42" s="3">
        <f>IF(ISNUMBER(M42),(('Prices &amp; Rates'!C$4/100)/(1-(1+'Prices &amp; Rates'!C$4/100)^(-M42))),"")</f>
      </c>
      <c r="O42" s="180"/>
    </row>
    <row r="43" spans="1:15" ht="12.75">
      <c r="A43" s="26"/>
      <c r="B43" s="11"/>
      <c r="C43" s="43"/>
      <c r="D43" s="5"/>
      <c r="E43" s="187"/>
      <c r="F43" s="189"/>
      <c r="G43" s="187"/>
      <c r="H43" s="202">
        <f t="shared" si="0"/>
      </c>
      <c r="I43" s="187"/>
      <c r="J43" s="189"/>
      <c r="K43" s="187"/>
      <c r="L43" s="23">
        <f t="shared" si="3"/>
      </c>
      <c r="M43" s="56">
        <f t="shared" si="2"/>
      </c>
      <c r="N43" s="3">
        <f>IF(ISNUMBER(M43),(('Prices &amp; Rates'!C$4/100)/(1-(1+'Prices &amp; Rates'!C$4/100)^(-M43))),"")</f>
      </c>
      <c r="O43" s="180"/>
    </row>
    <row r="44" spans="1:15" ht="12.75">
      <c r="A44" s="26"/>
      <c r="B44" s="11"/>
      <c r="C44" s="43"/>
      <c r="D44" s="5"/>
      <c r="E44" s="187"/>
      <c r="F44" s="189"/>
      <c r="G44" s="187"/>
      <c r="H44" s="202">
        <f t="shared" si="0"/>
      </c>
      <c r="I44" s="187"/>
      <c r="J44" s="189"/>
      <c r="K44" s="187"/>
      <c r="L44" s="23">
        <f t="shared" si="3"/>
      </c>
      <c r="M44" s="56">
        <f t="shared" si="2"/>
      </c>
      <c r="N44" s="3">
        <f>IF(ISNUMBER(M44),(('Prices &amp; Rates'!C$4/100)/(1-(1+'Prices &amp; Rates'!C$4/100)^(-M44))),"")</f>
      </c>
      <c r="O44" s="180"/>
    </row>
    <row r="45" spans="1:15" ht="12.75">
      <c r="A45" s="26"/>
      <c r="B45" s="11"/>
      <c r="C45" s="43"/>
      <c r="D45" s="5"/>
      <c r="E45" s="187"/>
      <c r="F45" s="189"/>
      <c r="G45" s="187"/>
      <c r="H45" s="202">
        <f t="shared" si="0"/>
      </c>
      <c r="I45" s="187"/>
      <c r="J45" s="189"/>
      <c r="K45" s="187"/>
      <c r="L45" s="23">
        <f t="shared" si="3"/>
      </c>
      <c r="M45" s="56">
        <f t="shared" si="2"/>
      </c>
      <c r="N45" s="3">
        <f>IF(ISNUMBER(M45),(('Prices &amp; Rates'!C$4/100)/(1-(1+'Prices &amp; Rates'!C$4/100)^(-M45))),"")</f>
      </c>
      <c r="O45" s="180"/>
    </row>
    <row r="46" spans="1:15" ht="12.75">
      <c r="A46" s="26"/>
      <c r="B46" s="11"/>
      <c r="C46" s="43"/>
      <c r="D46" s="5"/>
      <c r="E46" s="187"/>
      <c r="F46" s="189"/>
      <c r="G46" s="187"/>
      <c r="H46" s="202">
        <f t="shared" si="0"/>
      </c>
      <c r="I46" s="187"/>
      <c r="J46" s="189"/>
      <c r="K46" s="187"/>
      <c r="L46" s="23">
        <f t="shared" si="3"/>
      </c>
      <c r="M46" s="56">
        <f t="shared" si="2"/>
      </c>
      <c r="N46" s="3">
        <f>IF(ISNUMBER(M46),(('Prices &amp; Rates'!C$4/100)/(1-(1+'Prices &amp; Rates'!C$4/100)^(-M46))),"")</f>
      </c>
      <c r="O46" s="180"/>
    </row>
    <row r="47" spans="1:15" ht="12.75">
      <c r="A47" s="26"/>
      <c r="B47" s="11"/>
      <c r="C47" s="43"/>
      <c r="D47" s="5"/>
      <c r="E47" s="187"/>
      <c r="F47" s="189"/>
      <c r="G47" s="187"/>
      <c r="H47" s="202">
        <f t="shared" si="0"/>
      </c>
      <c r="I47" s="187"/>
      <c r="J47" s="189"/>
      <c r="K47" s="187"/>
      <c r="L47" s="23">
        <f t="shared" si="3"/>
      </c>
      <c r="M47" s="56">
        <f t="shared" si="2"/>
      </c>
      <c r="N47" s="3">
        <f>IF(ISNUMBER(M47),(('Prices &amp; Rates'!C$4/100)/(1-(1+'Prices &amp; Rates'!C$4/100)^(-M47))),"")</f>
      </c>
      <c r="O47" s="180"/>
    </row>
    <row r="48" spans="1:15" ht="12.75">
      <c r="A48" s="26"/>
      <c r="B48" s="11"/>
      <c r="C48" s="43"/>
      <c r="D48" s="5"/>
      <c r="E48" s="187"/>
      <c r="F48" s="189"/>
      <c r="G48" s="187"/>
      <c r="H48" s="202">
        <f t="shared" si="0"/>
      </c>
      <c r="I48" s="187"/>
      <c r="J48" s="189"/>
      <c r="K48" s="187"/>
      <c r="L48" s="23">
        <f t="shared" si="3"/>
      </c>
      <c r="M48" s="56">
        <f t="shared" si="2"/>
      </c>
      <c r="N48" s="3">
        <f>IF(ISNUMBER(M48),(('Prices &amp; Rates'!C$4/100)/(1-(1+'Prices &amp; Rates'!C$4/100)^(-M48))),"")</f>
      </c>
      <c r="O48" s="180"/>
    </row>
    <row r="49" spans="1:15" ht="12.75">
      <c r="A49" s="26"/>
      <c r="B49" s="11"/>
      <c r="C49" s="43"/>
      <c r="D49" s="5"/>
      <c r="E49" s="187"/>
      <c r="F49" s="189"/>
      <c r="G49" s="187"/>
      <c r="H49" s="202">
        <f t="shared" si="0"/>
      </c>
      <c r="I49" s="187"/>
      <c r="J49" s="189"/>
      <c r="K49" s="187"/>
      <c r="L49" s="23">
        <f t="shared" si="3"/>
      </c>
      <c r="M49" s="56">
        <f t="shared" si="2"/>
      </c>
      <c r="N49" s="3">
        <f>IF(ISNUMBER(M49),(('Prices &amp; Rates'!C$4/100)/(1-(1+'Prices &amp; Rates'!C$4/100)^(-M49))),"")</f>
      </c>
      <c r="O49" s="180"/>
    </row>
    <row r="50" spans="1:15" ht="12.75">
      <c r="A50" s="26"/>
      <c r="B50" s="11"/>
      <c r="C50" s="43"/>
      <c r="D50" s="5"/>
      <c r="E50" s="187"/>
      <c r="F50" s="189"/>
      <c r="G50" s="187"/>
      <c r="H50" s="202">
        <f t="shared" si="0"/>
      </c>
      <c r="I50" s="187"/>
      <c r="J50" s="189"/>
      <c r="K50" s="187"/>
      <c r="L50" s="23">
        <f t="shared" si="3"/>
      </c>
      <c r="M50" s="56">
        <f t="shared" si="2"/>
      </c>
      <c r="N50" s="3">
        <f>IF(ISNUMBER(M50),(('Prices &amp; Rates'!C$4/100)/(1-(1+'Prices &amp; Rates'!C$4/100)^(-M50))),"")</f>
      </c>
      <c r="O50" s="180"/>
    </row>
  </sheetData>
  <sheetProtection sheet="1" objects="1" scenarios="1"/>
  <printOptions/>
  <pageMargins left="0.75" right="0.75" top="1" bottom="1" header="0.5" footer="0.5"/>
  <pageSetup horizontalDpi="600" verticalDpi="600" orientation="portrait" scale="69" r:id="rId3"/>
  <legacyDrawing r:id="rId2"/>
</worksheet>
</file>

<file path=xl/worksheets/sheet5.xml><?xml version="1.0" encoding="utf-8"?>
<worksheet xmlns="http://schemas.openxmlformats.org/spreadsheetml/2006/main" xmlns:r="http://schemas.openxmlformats.org/officeDocument/2006/relationships">
  <sheetPr codeName="Sheet4"/>
  <dimension ref="A1:C6"/>
  <sheetViews>
    <sheetView showRowColHeaders="0" zoomScale="250" zoomScaleNormal="250" workbookViewId="0" topLeftCell="A1">
      <selection activeCell="G3" sqref="G3"/>
    </sheetView>
  </sheetViews>
  <sheetFormatPr defaultColWidth="9.140625" defaultRowHeight="12.75"/>
  <cols>
    <col min="1" max="1" width="20.57421875" style="166" bestFit="1" customWidth="1"/>
    <col min="2" max="2" width="14.140625" style="166" bestFit="1" customWidth="1"/>
    <col min="3" max="16384" width="9.140625" style="166" customWidth="1"/>
  </cols>
  <sheetData>
    <row r="1" spans="1:3" ht="12.75">
      <c r="A1" s="10" t="s">
        <v>93</v>
      </c>
      <c r="B1" s="10" t="s">
        <v>92</v>
      </c>
      <c r="C1" s="57" t="s">
        <v>60</v>
      </c>
    </row>
    <row r="2" spans="1:3" ht="12.75">
      <c r="A2" s="1" t="s">
        <v>90</v>
      </c>
      <c r="B2" s="1" t="s">
        <v>8</v>
      </c>
      <c r="C2" s="6">
        <v>1.2</v>
      </c>
    </row>
    <row r="3" spans="1:3" ht="12.75">
      <c r="A3" s="1" t="s">
        <v>91</v>
      </c>
      <c r="B3" s="1" t="s">
        <v>8</v>
      </c>
      <c r="C3" s="6">
        <v>1.1</v>
      </c>
    </row>
    <row r="4" spans="1:3" ht="12.75">
      <c r="A4" s="1" t="s">
        <v>9</v>
      </c>
      <c r="B4" s="1" t="s">
        <v>10</v>
      </c>
      <c r="C4" s="6">
        <v>10</v>
      </c>
    </row>
    <row r="5" spans="1:3" ht="12.75">
      <c r="A5" s="1" t="s">
        <v>11</v>
      </c>
      <c r="B5" s="1" t="s">
        <v>12</v>
      </c>
      <c r="C5" s="6">
        <v>11</v>
      </c>
    </row>
    <row r="6" spans="1:3" ht="12.75">
      <c r="A6" s="1" t="s">
        <v>68</v>
      </c>
      <c r="B6" s="1"/>
      <c r="C6" s="6">
        <v>1.1</v>
      </c>
    </row>
    <row r="7" ht="12.75"/>
    <row r="9" ht="12.75"/>
  </sheetData>
  <sheetProtection sheet="1" objects="1" scenarios="1"/>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6"/>
  <dimension ref="A1:I11"/>
  <sheetViews>
    <sheetView showGridLines="0" zoomScale="150" zoomScaleNormal="150" workbookViewId="0" topLeftCell="A1">
      <selection activeCell="G3" sqref="G3"/>
    </sheetView>
  </sheetViews>
  <sheetFormatPr defaultColWidth="9.140625" defaultRowHeight="12.75"/>
  <cols>
    <col min="1" max="1" width="15.28125" style="86" customWidth="1"/>
    <col min="2" max="2" width="9.421875" style="86" bestFit="1" customWidth="1"/>
    <col min="3" max="16384" width="8.8515625" style="86" customWidth="1"/>
  </cols>
  <sheetData>
    <row r="1" spans="1:9" s="104" customFormat="1" ht="12.75" customHeight="1">
      <c r="A1" s="111" t="s">
        <v>167</v>
      </c>
      <c r="B1" s="105"/>
      <c r="C1" s="105"/>
      <c r="D1" s="105"/>
      <c r="E1" s="105"/>
      <c r="F1" s="105"/>
      <c r="G1" s="105"/>
      <c r="H1" s="106">
        <f>Budget!E11</f>
        <v>5</v>
      </c>
      <c r="I1" s="107" t="str">
        <f>Budget!F8</f>
        <v>T</v>
      </c>
    </row>
    <row r="2" spans="1:8" ht="12.75">
      <c r="A2" s="90"/>
      <c r="B2" s="91"/>
      <c r="C2" s="91"/>
      <c r="D2" s="92"/>
      <c r="E2" s="120" t="str">
        <f>CONCATENATE("Price in $/",I1)</f>
        <v>Price in $/T</v>
      </c>
      <c r="F2" s="92"/>
      <c r="G2" s="91"/>
      <c r="H2" s="91"/>
    </row>
    <row r="3" spans="1:8" ht="12.75">
      <c r="A3" s="93"/>
      <c r="B3" s="160">
        <f>Budget!$G$11*(1-3*B11)</f>
        <v>31.999999999999993</v>
      </c>
      <c r="C3" s="161">
        <f>B3+$B$11*Budget!$G$11</f>
        <v>47.99999999999999</v>
      </c>
      <c r="D3" s="161">
        <f>C3+$B$11*Budget!$G$11</f>
        <v>63.99999999999999</v>
      </c>
      <c r="E3" s="162">
        <f>D3+$B$11*Budget!$G$11</f>
        <v>80</v>
      </c>
      <c r="F3" s="161">
        <f>E3+$B$11*Budget!$G$11</f>
        <v>96</v>
      </c>
      <c r="G3" s="161">
        <f>F3+$B$11*Budget!$G$11</f>
        <v>112</v>
      </c>
      <c r="H3" s="161">
        <f>G3+$B$11*Budget!$G$11</f>
        <v>128</v>
      </c>
    </row>
    <row r="4" spans="1:8" ht="19.5" customHeight="1">
      <c r="A4" s="95" t="s">
        <v>168</v>
      </c>
      <c r="B4" s="96">
        <f aca="true" t="shared" si="0" ref="B4:H4">B3*$H$1</f>
        <v>159.99999999999997</v>
      </c>
      <c r="C4" s="96">
        <f t="shared" si="0"/>
        <v>239.99999999999997</v>
      </c>
      <c r="D4" s="96">
        <f t="shared" si="0"/>
        <v>319.99999999999994</v>
      </c>
      <c r="E4" s="112">
        <f t="shared" si="0"/>
        <v>400</v>
      </c>
      <c r="F4" s="96">
        <f t="shared" si="0"/>
        <v>480</v>
      </c>
      <c r="G4" s="96">
        <f t="shared" si="0"/>
        <v>560</v>
      </c>
      <c r="H4" s="96">
        <f t="shared" si="0"/>
        <v>640</v>
      </c>
    </row>
    <row r="5" spans="1:8" ht="19.5" customHeight="1">
      <c r="A5" s="95" t="s">
        <v>175</v>
      </c>
      <c r="B5" s="96">
        <f>Budget!$N$11</f>
        <v>15</v>
      </c>
      <c r="C5" s="96">
        <f>Budget!$N$11</f>
        <v>15</v>
      </c>
      <c r="D5" s="96">
        <f>Budget!$N$11</f>
        <v>15</v>
      </c>
      <c r="E5" s="112">
        <f>Budget!$N$11</f>
        <v>15</v>
      </c>
      <c r="F5" s="96">
        <f>Budget!$N$11</f>
        <v>15</v>
      </c>
      <c r="G5" s="96">
        <f>Budget!$N$11</f>
        <v>15</v>
      </c>
      <c r="H5" s="96">
        <f>Budget!$N$11</f>
        <v>15</v>
      </c>
    </row>
    <row r="6" spans="1:8" ht="19.5" customHeight="1">
      <c r="A6" s="95" t="s">
        <v>169</v>
      </c>
      <c r="B6" s="96">
        <f>Budget!$H$36</f>
        <v>93.02000000000001</v>
      </c>
      <c r="C6" s="96">
        <f>Budget!$H$36</f>
        <v>93.02000000000001</v>
      </c>
      <c r="D6" s="96">
        <f>Budget!$H$36</f>
        <v>93.02000000000001</v>
      </c>
      <c r="E6" s="112">
        <f>Budget!$H$36</f>
        <v>93.02000000000001</v>
      </c>
      <c r="F6" s="96">
        <f>Budget!$H$36</f>
        <v>93.02000000000001</v>
      </c>
      <c r="G6" s="96">
        <f>Budget!$H$36</f>
        <v>93.02000000000001</v>
      </c>
      <c r="H6" s="96">
        <f>Budget!$H$36</f>
        <v>93.02000000000001</v>
      </c>
    </row>
    <row r="7" spans="1:8" ht="27" customHeight="1">
      <c r="A7" s="97" t="s">
        <v>170</v>
      </c>
      <c r="B7" s="96">
        <f>B4-B6+B5</f>
        <v>81.97999999999996</v>
      </c>
      <c r="C7" s="96">
        <f aca="true" t="shared" si="1" ref="C7:H7">C4-C6+C5</f>
        <v>161.97999999999996</v>
      </c>
      <c r="D7" s="96">
        <f t="shared" si="1"/>
        <v>241.97999999999993</v>
      </c>
      <c r="E7" s="112">
        <f t="shared" si="1"/>
        <v>321.98</v>
      </c>
      <c r="F7" s="96">
        <f t="shared" si="1"/>
        <v>401.98</v>
      </c>
      <c r="G7" s="96">
        <f t="shared" si="1"/>
        <v>481.98</v>
      </c>
      <c r="H7" s="96">
        <f t="shared" si="1"/>
        <v>561.98</v>
      </c>
    </row>
    <row r="8" spans="1:8" ht="19.5" customHeight="1">
      <c r="A8" s="95" t="s">
        <v>171</v>
      </c>
      <c r="B8" s="96">
        <f>Budget!$H$48</f>
        <v>361.8970298920688</v>
      </c>
      <c r="C8" s="96">
        <f>Budget!$H$48</f>
        <v>361.8970298920688</v>
      </c>
      <c r="D8" s="96">
        <f>Budget!$H$48</f>
        <v>361.8970298920688</v>
      </c>
      <c r="E8" s="112">
        <f>Budget!$H$48</f>
        <v>361.8970298920688</v>
      </c>
      <c r="F8" s="96">
        <f>Budget!$H$48</f>
        <v>361.8970298920688</v>
      </c>
      <c r="G8" s="96">
        <f>Budget!$H$48</f>
        <v>361.8970298920688</v>
      </c>
      <c r="H8" s="96">
        <f>Budget!$H$48</f>
        <v>361.8970298920688</v>
      </c>
    </row>
    <row r="9" spans="1:8" ht="19.5" customHeight="1">
      <c r="A9" s="95" t="s">
        <v>96</v>
      </c>
      <c r="B9" s="96">
        <f aca="true" t="shared" si="2" ref="B9:H9">B6+B8</f>
        <v>454.91702989206885</v>
      </c>
      <c r="C9" s="96">
        <f t="shared" si="2"/>
        <v>454.91702989206885</v>
      </c>
      <c r="D9" s="96">
        <f t="shared" si="2"/>
        <v>454.91702989206885</v>
      </c>
      <c r="E9" s="112">
        <f t="shared" si="2"/>
        <v>454.91702989206885</v>
      </c>
      <c r="F9" s="96">
        <f t="shared" si="2"/>
        <v>454.91702989206885</v>
      </c>
      <c r="G9" s="96">
        <f t="shared" si="2"/>
        <v>454.91702989206885</v>
      </c>
      <c r="H9" s="96">
        <f t="shared" si="2"/>
        <v>454.91702989206885</v>
      </c>
    </row>
    <row r="10" spans="1:8" ht="19.5" customHeight="1">
      <c r="A10" s="98" t="s">
        <v>172</v>
      </c>
      <c r="B10" s="94">
        <f>B7-B8</f>
        <v>-279.91702989206885</v>
      </c>
      <c r="C10" s="94">
        <f aca="true" t="shared" si="3" ref="C10:H10">C7-C8</f>
        <v>-199.91702989206885</v>
      </c>
      <c r="D10" s="94">
        <f t="shared" si="3"/>
        <v>-119.91702989206888</v>
      </c>
      <c r="E10" s="113">
        <f t="shared" si="3"/>
        <v>-39.9170298920688</v>
      </c>
      <c r="F10" s="94">
        <f t="shared" si="3"/>
        <v>40.0829701079312</v>
      </c>
      <c r="G10" s="94">
        <f t="shared" si="3"/>
        <v>120.0829701079312</v>
      </c>
      <c r="H10" s="94">
        <f t="shared" si="3"/>
        <v>200.0829701079312</v>
      </c>
    </row>
    <row r="11" spans="1:8" ht="15.75" customHeight="1">
      <c r="A11" s="99" t="s">
        <v>192</v>
      </c>
      <c r="B11" s="88">
        <v>0.2</v>
      </c>
      <c r="C11" s="90"/>
      <c r="D11" s="90"/>
      <c r="E11" s="90"/>
      <c r="F11" s="90"/>
      <c r="G11" s="90"/>
      <c r="H11" s="90"/>
    </row>
    <row r="12" ht="12.75"/>
    <row r="13" ht="12.75"/>
    <row r="14" ht="12.75"/>
  </sheetData>
  <sheetProtection sheet="1" objects="1" scenarios="1"/>
  <printOptions horizontalCentered="1" verticalCentered="1"/>
  <pageMargins left="0.75" right="0.75" top="1" bottom="1" header="0.5" footer="0.5"/>
  <pageSetup horizontalDpi="600" verticalDpi="600" orientation="landscape" scale="140" r:id="rId3"/>
  <legacyDrawing r:id="rId2"/>
</worksheet>
</file>

<file path=xl/worksheets/sheet7.xml><?xml version="1.0" encoding="utf-8"?>
<worksheet xmlns="http://schemas.openxmlformats.org/spreadsheetml/2006/main" xmlns:r="http://schemas.openxmlformats.org/officeDocument/2006/relationships">
  <sheetPr codeName="Sheet7"/>
  <dimension ref="A1:H11"/>
  <sheetViews>
    <sheetView showGridLines="0" zoomScale="150" zoomScaleNormal="150" workbookViewId="0" topLeftCell="A1">
      <selection activeCell="G3" sqref="G3"/>
    </sheetView>
  </sheetViews>
  <sheetFormatPr defaultColWidth="9.140625" defaultRowHeight="12.75"/>
  <cols>
    <col min="1" max="1" width="15.00390625" style="86" customWidth="1"/>
    <col min="2" max="16384" width="8.8515625" style="86" customWidth="1"/>
  </cols>
  <sheetData>
    <row r="1" spans="1:8" s="104" customFormat="1" ht="13.5" customHeight="1">
      <c r="A1" s="111" t="s">
        <v>173</v>
      </c>
      <c r="B1" s="103"/>
      <c r="C1" s="103"/>
      <c r="D1" s="103"/>
      <c r="E1" s="103"/>
      <c r="F1" s="103"/>
      <c r="G1" s="103"/>
      <c r="H1" s="100">
        <f>Budget!$G$11</f>
        <v>80</v>
      </c>
    </row>
    <row r="2" spans="1:8" s="109" customFormat="1" ht="12.75">
      <c r="A2" s="110"/>
      <c r="B2" s="108"/>
      <c r="C2" s="108"/>
      <c r="D2" s="108"/>
      <c r="E2" s="119" t="str">
        <f>CONCATENATE("Yield in ",Budget!F8,"/Acre")</f>
        <v>Yield in T/Acre</v>
      </c>
      <c r="F2" s="108"/>
      <c r="G2" s="108"/>
      <c r="H2" s="108"/>
    </row>
    <row r="3" spans="1:8" ht="12.75">
      <c r="A3" s="93"/>
      <c r="B3" s="101">
        <f>Budget!$E$11*(1-3*B11)</f>
        <v>1.9999999999999996</v>
      </c>
      <c r="C3" s="101">
        <f>B3+$B$11*Budget!$E$11</f>
        <v>2.9999999999999996</v>
      </c>
      <c r="D3" s="101">
        <f>C3+$B$11*Budget!$E$11</f>
        <v>3.9999999999999996</v>
      </c>
      <c r="E3" s="114">
        <f>D3+$B$11*Budget!$E$11</f>
        <v>5</v>
      </c>
      <c r="F3" s="101">
        <f>E3+$B$11*Budget!$E$11</f>
        <v>6</v>
      </c>
      <c r="G3" s="101">
        <f>F3+$B$11*Budget!$E$11</f>
        <v>7</v>
      </c>
      <c r="H3" s="101">
        <f>G3+$B$11*Budget!$E$11</f>
        <v>8</v>
      </c>
    </row>
    <row r="4" spans="1:8" ht="19.5" customHeight="1">
      <c r="A4" s="90" t="s">
        <v>168</v>
      </c>
      <c r="B4" s="96">
        <f aca="true" t="shared" si="0" ref="B4:H4">$H$1*B3</f>
        <v>159.99999999999997</v>
      </c>
      <c r="C4" s="96">
        <f t="shared" si="0"/>
        <v>239.99999999999997</v>
      </c>
      <c r="D4" s="96">
        <f t="shared" si="0"/>
        <v>319.99999999999994</v>
      </c>
      <c r="E4" s="112">
        <f t="shared" si="0"/>
        <v>400</v>
      </c>
      <c r="F4" s="96">
        <f t="shared" si="0"/>
        <v>480</v>
      </c>
      <c r="G4" s="96">
        <f t="shared" si="0"/>
        <v>560</v>
      </c>
      <c r="H4" s="96">
        <f t="shared" si="0"/>
        <v>640</v>
      </c>
    </row>
    <row r="5" spans="1:8" ht="19.5" customHeight="1">
      <c r="A5" s="99" t="s">
        <v>175</v>
      </c>
      <c r="B5" s="96">
        <f>Budget!$N$11</f>
        <v>15</v>
      </c>
      <c r="C5" s="96">
        <f>Budget!$N$11</f>
        <v>15</v>
      </c>
      <c r="D5" s="96">
        <f>Budget!$N$11</f>
        <v>15</v>
      </c>
      <c r="E5" s="112">
        <f>Budget!$N$11</f>
        <v>15</v>
      </c>
      <c r="F5" s="96">
        <f>Budget!$N$11</f>
        <v>15</v>
      </c>
      <c r="G5" s="96">
        <f>Budget!$N$11</f>
        <v>15</v>
      </c>
      <c r="H5" s="96">
        <f>Budget!$N$11</f>
        <v>15</v>
      </c>
    </row>
    <row r="6" spans="1:8" ht="19.5" customHeight="1">
      <c r="A6" s="90" t="s">
        <v>169</v>
      </c>
      <c r="B6" s="96">
        <f>Budget!$H$36-Budget!$H$29+Budget!$H$29/Budget!$E$11*'Yield chg'!B3</f>
        <v>62.870000000000005</v>
      </c>
      <c r="C6" s="96">
        <f>Budget!$H$36-Budget!$H$29+Budget!$H$29/Budget!$E$11*'Yield chg'!C3</f>
        <v>72.92000000000002</v>
      </c>
      <c r="D6" s="96">
        <f>Budget!$H$36-Budget!$H$29+Budget!$H$29/Budget!$E$11*'Yield chg'!D3</f>
        <v>82.97</v>
      </c>
      <c r="E6" s="112">
        <f>Budget!$H$36-Budget!$H$29+Budget!$H$29/Budget!$E$11*'Yield chg'!E3</f>
        <v>93.02000000000001</v>
      </c>
      <c r="F6" s="96">
        <f>Budget!$H$36-Budget!$H$29+Budget!$H$29/Budget!$E$11*'Yield chg'!F3</f>
        <v>103.07000000000002</v>
      </c>
      <c r="G6" s="96">
        <f>Budget!$H$36-Budget!$H$29+Budget!$H$29/Budget!$E$11*'Yield chg'!G3</f>
        <v>113.12000000000002</v>
      </c>
      <c r="H6" s="96">
        <f>Budget!$H$36-Budget!$H$29+Budget!$H$29/Budget!$E$11*'Yield chg'!H3</f>
        <v>123.17000000000002</v>
      </c>
    </row>
    <row r="7" spans="1:8" ht="27" customHeight="1">
      <c r="A7" s="89" t="s">
        <v>170</v>
      </c>
      <c r="B7" s="96">
        <f>B4-B6+B5</f>
        <v>112.12999999999997</v>
      </c>
      <c r="C7" s="96">
        <f aca="true" t="shared" si="1" ref="C7:H7">C4-C6+C5</f>
        <v>182.07999999999996</v>
      </c>
      <c r="D7" s="96">
        <f t="shared" si="1"/>
        <v>252.02999999999994</v>
      </c>
      <c r="E7" s="112">
        <f t="shared" si="1"/>
        <v>321.98</v>
      </c>
      <c r="F7" s="96">
        <f t="shared" si="1"/>
        <v>391.92999999999995</v>
      </c>
      <c r="G7" s="96">
        <f t="shared" si="1"/>
        <v>461.88</v>
      </c>
      <c r="H7" s="96">
        <f t="shared" si="1"/>
        <v>531.8299999999999</v>
      </c>
    </row>
    <row r="8" spans="1:8" ht="19.5" customHeight="1">
      <c r="A8" s="90" t="s">
        <v>171</v>
      </c>
      <c r="B8" s="96">
        <f>Budget!$H$48</f>
        <v>361.8970298920688</v>
      </c>
      <c r="C8" s="96">
        <f>Budget!$H$48</f>
        <v>361.8970298920688</v>
      </c>
      <c r="D8" s="96">
        <f>Budget!$H$48</f>
        <v>361.8970298920688</v>
      </c>
      <c r="E8" s="112">
        <f>Budget!$H$48</f>
        <v>361.8970298920688</v>
      </c>
      <c r="F8" s="96">
        <f>Budget!$H$48</f>
        <v>361.8970298920688</v>
      </c>
      <c r="G8" s="96">
        <f>Budget!$H$48</f>
        <v>361.8970298920688</v>
      </c>
      <c r="H8" s="96">
        <f>Budget!$H$48</f>
        <v>361.8970298920688</v>
      </c>
    </row>
    <row r="9" spans="1:8" ht="19.5" customHeight="1">
      <c r="A9" s="90" t="s">
        <v>96</v>
      </c>
      <c r="B9" s="96">
        <f aca="true" t="shared" si="2" ref="B9:H9">B6+B8</f>
        <v>424.7670298920688</v>
      </c>
      <c r="C9" s="96">
        <f t="shared" si="2"/>
        <v>434.81702989206883</v>
      </c>
      <c r="D9" s="96">
        <f t="shared" si="2"/>
        <v>444.8670298920688</v>
      </c>
      <c r="E9" s="112">
        <f t="shared" si="2"/>
        <v>454.91702989206885</v>
      </c>
      <c r="F9" s="96">
        <f t="shared" si="2"/>
        <v>464.9670298920688</v>
      </c>
      <c r="G9" s="96">
        <f t="shared" si="2"/>
        <v>475.0170298920688</v>
      </c>
      <c r="H9" s="96">
        <f t="shared" si="2"/>
        <v>485.06702989206883</v>
      </c>
    </row>
    <row r="10" spans="1:8" ht="19.5" customHeight="1">
      <c r="A10" s="93" t="s">
        <v>172</v>
      </c>
      <c r="B10" s="94">
        <f>B7-B8</f>
        <v>-249.76702989206885</v>
      </c>
      <c r="C10" s="94">
        <f aca="true" t="shared" si="3" ref="C10:H10">C7-C8</f>
        <v>-179.81702989206886</v>
      </c>
      <c r="D10" s="94">
        <f t="shared" si="3"/>
        <v>-109.86702989206887</v>
      </c>
      <c r="E10" s="113">
        <f t="shared" si="3"/>
        <v>-39.9170298920688</v>
      </c>
      <c r="F10" s="94">
        <f t="shared" si="3"/>
        <v>30.032970107931135</v>
      </c>
      <c r="G10" s="94">
        <f t="shared" si="3"/>
        <v>99.98297010793118</v>
      </c>
      <c r="H10" s="94">
        <f t="shared" si="3"/>
        <v>169.9329701079311</v>
      </c>
    </row>
    <row r="11" spans="1:8" ht="17.25" customHeight="1">
      <c r="A11" s="99" t="s">
        <v>193</v>
      </c>
      <c r="B11" s="88">
        <v>0.2</v>
      </c>
      <c r="C11" s="90"/>
      <c r="D11" s="90"/>
      <c r="E11" s="90"/>
      <c r="F11" s="90"/>
      <c r="G11" s="90"/>
      <c r="H11" s="90"/>
    </row>
    <row r="12" ht="12.75"/>
    <row r="13" ht="12.75"/>
    <row r="14" ht="12.75"/>
  </sheetData>
  <sheetProtection sheet="1" objects="1" scenarios="1"/>
  <printOptions horizontalCentered="1" verticalCentered="1"/>
  <pageMargins left="0.75" right="0.75" top="1" bottom="1" header="0.5" footer="0.5"/>
  <pageSetup horizontalDpi="600" verticalDpi="600" orientation="landscape" scale="140" r:id="rId3"/>
  <legacyDrawing r:id="rId2"/>
</worksheet>
</file>

<file path=xl/worksheets/sheet8.xml><?xml version="1.0" encoding="utf-8"?>
<worksheet xmlns="http://schemas.openxmlformats.org/spreadsheetml/2006/main" xmlns:r="http://schemas.openxmlformats.org/officeDocument/2006/relationships">
  <sheetPr codeName="Sheet8"/>
  <dimension ref="A1:H11"/>
  <sheetViews>
    <sheetView showGridLines="0" zoomScale="150" zoomScaleNormal="150" workbookViewId="0" topLeftCell="A1">
      <selection activeCell="G3" sqref="G3"/>
    </sheetView>
  </sheetViews>
  <sheetFormatPr defaultColWidth="9.140625" defaultRowHeight="12.75"/>
  <cols>
    <col min="1" max="1" width="14.00390625" style="86" customWidth="1"/>
    <col min="2" max="16384" width="8.8515625" style="86" customWidth="1"/>
  </cols>
  <sheetData>
    <row r="1" spans="1:8" ht="12.75">
      <c r="A1" s="102" t="s">
        <v>174</v>
      </c>
      <c r="B1" s="90"/>
      <c r="C1" s="90"/>
      <c r="D1" s="90"/>
      <c r="E1" s="90"/>
      <c r="F1" s="90"/>
      <c r="G1" s="90"/>
      <c r="H1" s="90"/>
    </row>
    <row r="2" spans="1:8" ht="12.75">
      <c r="A2" s="90"/>
      <c r="B2" s="91"/>
      <c r="C2" s="91"/>
      <c r="D2" s="91"/>
      <c r="E2" s="119" t="str">
        <f>'Yield chg'!E2</f>
        <v>Yield in T/Acre</v>
      </c>
      <c r="F2" s="91"/>
      <c r="G2" s="91"/>
      <c r="H2" s="91"/>
    </row>
    <row r="3" spans="1:8" ht="12.75">
      <c r="A3" s="102" t="str">
        <f>'Price chg'!E2</f>
        <v>Price in $/T</v>
      </c>
      <c r="B3" s="101">
        <f>'Yield chg'!B3</f>
        <v>1.9999999999999996</v>
      </c>
      <c r="C3" s="101">
        <f>'Yield chg'!C3</f>
        <v>2.9999999999999996</v>
      </c>
      <c r="D3" s="101">
        <f>'Yield chg'!D3</f>
        <v>3.9999999999999996</v>
      </c>
      <c r="E3" s="114">
        <f>'Yield chg'!E3</f>
        <v>5</v>
      </c>
      <c r="F3" s="101">
        <f>'Yield chg'!F3</f>
        <v>6</v>
      </c>
      <c r="G3" s="101">
        <f>'Yield chg'!G3</f>
        <v>7</v>
      </c>
      <c r="H3" s="101">
        <f>'Yield chg'!H3</f>
        <v>8</v>
      </c>
    </row>
    <row r="4" spans="1:8" ht="19.5" customHeight="1">
      <c r="A4" s="156">
        <f>'Price chg'!$B$3</f>
        <v>31.999999999999993</v>
      </c>
      <c r="B4" s="96">
        <f>$A4*B$3+Budget!$N$11-Budget!$H$48-(Budget!$H$36-Budget!$H$29)-(Budget!$H$29/Budget!$E$11*'P&amp;Y chg'!B$3)</f>
        <v>-345.7670298920689</v>
      </c>
      <c r="C4" s="96">
        <f>$A4*C$3+Budget!$N$11-Budget!$H$48-(Budget!$H$36-Budget!$H$29)-(Budget!$H$29/Budget!$E$11*'P&amp;Y chg'!C$3)</f>
        <v>-323.81702989206883</v>
      </c>
      <c r="D4" s="96">
        <f>$A4*D$3+Budget!$N$11-Budget!$H$48-(Budget!$H$36-Budget!$H$29)-(Budget!$H$29/Budget!$E$11*'P&amp;Y chg'!D$3)</f>
        <v>-301.86702989206884</v>
      </c>
      <c r="E4" s="112">
        <f>$A4*E$3+Budget!$N$11-Budget!$H$48-(Budget!$H$36-Budget!$H$29)-(Budget!$H$29/Budget!$E$11*'P&amp;Y chg'!E$3)</f>
        <v>-279.91702989206885</v>
      </c>
      <c r="F4" s="96">
        <f>$A4*F$3+Budget!$N$11-Budget!$H$48-(Budget!$H$36-Budget!$H$29)-(Budget!$H$29/Budget!$E$11*'P&amp;Y chg'!F$3)</f>
        <v>-257.96702989206887</v>
      </c>
      <c r="G4" s="96">
        <f>$A4*G$3+Budget!$N$11-Budget!$H$48-(Budget!$H$36-Budget!$H$29)-(Budget!$H$29/Budget!$E$11*'P&amp;Y chg'!G$3)</f>
        <v>-236.01702989206888</v>
      </c>
      <c r="H4" s="96">
        <f>$A4*H$3+Budget!$N$11-Budget!$H$48-(Budget!$H$36-Budget!$H$29)-(Budget!$H$29/Budget!$E$11*'P&amp;Y chg'!H$3)</f>
        <v>-214.0670298920689</v>
      </c>
    </row>
    <row r="5" spans="1:8" ht="19.5" customHeight="1">
      <c r="A5" s="157">
        <f>A4+'Price chg'!$B$11*Budget!$G$11</f>
        <v>47.99999999999999</v>
      </c>
      <c r="B5" s="96">
        <f>$A5*B$3+Budget!$N$11-Budget!$H$48-(Budget!$H$36-Budget!$H$29)-(Budget!$H$29/Budget!$E$11*'P&amp;Y chg'!B$3)</f>
        <v>-313.7670298920689</v>
      </c>
      <c r="C5" s="96">
        <f>$A5*C$3+Budget!$N$11-Budget!$H$48-(Budget!$H$36-Budget!$H$29)-(Budget!$H$29/Budget!$E$11*'P&amp;Y chg'!C$3)</f>
        <v>-275.8170298920689</v>
      </c>
      <c r="D5" s="96">
        <f>$A5*D$3+Budget!$N$11-Budget!$H$48-(Budget!$H$36-Budget!$H$29)-(Budget!$H$29/Budget!$E$11*'P&amp;Y chg'!D$3)</f>
        <v>-237.86702989206887</v>
      </c>
      <c r="E5" s="112">
        <f>$A5*E$3+Budget!$N$11-Budget!$H$48-(Budget!$H$36-Budget!$H$29)-(Budget!$H$29/Budget!$E$11*'P&amp;Y chg'!E$3)</f>
        <v>-199.91702989206885</v>
      </c>
      <c r="F5" s="96">
        <f>$A5*F$3+Budget!$N$11-Budget!$H$48-(Budget!$H$36-Budget!$H$29)-(Budget!$H$29/Budget!$E$11*'P&amp;Y chg'!F$3)</f>
        <v>-161.9670298920689</v>
      </c>
      <c r="G5" s="96">
        <f>$A5*G$3+Budget!$N$11-Budget!$H$48-(Budget!$H$36-Budget!$H$29)-(Budget!$H$29/Budget!$E$11*'P&amp;Y chg'!G$3)</f>
        <v>-124.01702989206889</v>
      </c>
      <c r="H5" s="96">
        <f>$A5*H$3+Budget!$N$11-Budget!$H$48-(Budget!$H$36-Budget!$H$29)-(Budget!$H$29/Budget!$E$11*'P&amp;Y chg'!H$3)</f>
        <v>-86.06702989206889</v>
      </c>
    </row>
    <row r="6" spans="1:8" ht="19.5" customHeight="1">
      <c r="A6" s="157">
        <f>A5+'Price chg'!$B$11*Budget!$G$11</f>
        <v>63.99999999999999</v>
      </c>
      <c r="B6" s="96">
        <f>$A6*B$3+Budget!$N$11-Budget!$H$48-(Budget!$H$36-Budget!$H$29)-(Budget!$H$29/Budget!$E$11*'P&amp;Y chg'!B$3)</f>
        <v>-281.7670298920689</v>
      </c>
      <c r="C6" s="96">
        <f>$A6*C$3+Budget!$N$11-Budget!$H$48-(Budget!$H$36-Budget!$H$29)-(Budget!$H$29/Budget!$E$11*'P&amp;Y chg'!C$3)</f>
        <v>-227.8170298920689</v>
      </c>
      <c r="D6" s="96">
        <f>$A6*D$3+Budget!$N$11-Budget!$H$48-(Budget!$H$36-Budget!$H$29)-(Budget!$H$29/Budget!$E$11*'P&amp;Y chg'!D$3)</f>
        <v>-173.86702989206887</v>
      </c>
      <c r="E6" s="112">
        <f>$A6*E$3+Budget!$N$11-Budget!$H$48-(Budget!$H$36-Budget!$H$29)-(Budget!$H$29/Budget!$E$11*'P&amp;Y chg'!E$3)</f>
        <v>-119.91702989206888</v>
      </c>
      <c r="F6" s="96">
        <f>$A6*F$3+Budget!$N$11-Budget!$H$48-(Budget!$H$36-Budget!$H$29)-(Budget!$H$29/Budget!$E$11*'P&amp;Y chg'!F$3)</f>
        <v>-65.9670298920689</v>
      </c>
      <c r="G6" s="96">
        <f>$A6*G$3+Budget!$N$11-Budget!$H$48-(Budget!$H$36-Budget!$H$29)-(Budget!$H$29/Budget!$E$11*'P&amp;Y chg'!G$3)</f>
        <v>-12.01702989206889</v>
      </c>
      <c r="H6" s="96">
        <f>$A6*H$3+Budget!$N$11-Budget!$H$48-(Budget!$H$36-Budget!$H$29)-(Budget!$H$29/Budget!$E$11*'P&amp;Y chg'!H$3)</f>
        <v>41.93297010793117</v>
      </c>
    </row>
    <row r="7" spans="1:8" ht="19.5" customHeight="1">
      <c r="A7" s="158">
        <f>A6+'Price chg'!$B$11*Budget!$G$11</f>
        <v>80</v>
      </c>
      <c r="B7" s="112">
        <f>$A7*B$3+Budget!$N$11-Budget!$H$48-(Budget!$H$36-Budget!$H$29)-(Budget!$H$29/Budget!$E$11*'P&amp;Y chg'!B$3)</f>
        <v>-249.76702989206885</v>
      </c>
      <c r="C7" s="112">
        <f>$A7*C$3+Budget!$N$11-Budget!$H$48-(Budget!$H$36-Budget!$H$29)-(Budget!$H$29/Budget!$E$11*'P&amp;Y chg'!C$3)</f>
        <v>-179.81702989206886</v>
      </c>
      <c r="D7" s="112">
        <f>$A7*D$3+Budget!$N$11-Budget!$H$48-(Budget!$H$36-Budget!$H$29)-(Budget!$H$29/Budget!$E$11*'P&amp;Y chg'!D$3)</f>
        <v>-109.86702989206887</v>
      </c>
      <c r="E7" s="112">
        <f>$A7*E$3+Budget!$N$11-Budget!$H$48-(Budget!$H$36-Budget!$H$29)-(Budget!$H$29/Budget!$E$11*'P&amp;Y chg'!E$3)</f>
        <v>-39.917029892068825</v>
      </c>
      <c r="F7" s="112">
        <f>$A7*F$3+Budget!$N$11-Budget!$H$48-(Budget!$H$36-Budget!$H$29)-(Budget!$H$29/Budget!$E$11*'P&amp;Y chg'!F$3)</f>
        <v>30.03297010793117</v>
      </c>
      <c r="G7" s="112">
        <f>$A7*G$3+Budget!$N$11-Budget!$H$48-(Budget!$H$36-Budget!$H$29)-(Budget!$H$29/Budget!$E$11*'P&amp;Y chg'!G$3)</f>
        <v>99.98297010793117</v>
      </c>
      <c r="H7" s="112">
        <f>$A7*H$3+Budget!$N$11-Budget!$H$48-(Budget!$H$36-Budget!$H$29)-(Budget!$H$29/Budget!$E$11*'P&amp;Y chg'!H$3)</f>
        <v>169.93297010793117</v>
      </c>
    </row>
    <row r="8" spans="1:8" ht="19.5" customHeight="1">
      <c r="A8" s="157">
        <f>A7+'Price chg'!$B$11*Budget!$G$11</f>
        <v>96</v>
      </c>
      <c r="B8" s="96">
        <f>$A8*B$3+Budget!$N$11-Budget!$H$48-(Budget!$H$36-Budget!$H$29)-(Budget!$H$29/Budget!$E$11*'P&amp;Y chg'!B$3)</f>
        <v>-217.76702989206888</v>
      </c>
      <c r="C8" s="96">
        <f>$A8*C$3+Budget!$N$11-Budget!$H$48-(Budget!$H$36-Budget!$H$29)-(Budget!$H$29/Budget!$E$11*'P&amp;Y chg'!C$3)</f>
        <v>-131.8170298920689</v>
      </c>
      <c r="D8" s="96">
        <f>$A8*D$3+Budget!$N$11-Budget!$H$48-(Budget!$H$36-Budget!$H$29)-(Budget!$H$29/Budget!$E$11*'P&amp;Y chg'!D$3)</f>
        <v>-45.86702989206888</v>
      </c>
      <c r="E8" s="112">
        <f>$A8*E$3+Budget!$N$11-Budget!$H$48-(Budget!$H$36-Budget!$H$29)-(Budget!$H$29/Budget!$E$11*'P&amp;Y chg'!E$3)</f>
        <v>40.082970107931175</v>
      </c>
      <c r="F8" s="96">
        <f>$A8*F$3+Budget!$N$11-Budget!$H$48-(Budget!$H$36-Budget!$H$29)-(Budget!$H$29/Budget!$E$11*'P&amp;Y chg'!F$3)</f>
        <v>126.03297010793116</v>
      </c>
      <c r="G8" s="96">
        <f>$A8*G$3+Budget!$N$11-Budget!$H$48-(Budget!$H$36-Budget!$H$29)-(Budget!$H$29/Budget!$E$11*'P&amp;Y chg'!G$3)</f>
        <v>211.98297010793112</v>
      </c>
      <c r="H8" s="96">
        <f>$A8*H$3+Budget!$N$11-Budget!$H$48-(Budget!$H$36-Budget!$H$29)-(Budget!$H$29/Budget!$E$11*'P&amp;Y chg'!H$3)</f>
        <v>297.93297010793117</v>
      </c>
    </row>
    <row r="9" spans="1:8" ht="19.5" customHeight="1">
      <c r="A9" s="157">
        <f>A8+'Price chg'!$B$11*Budget!$G$11</f>
        <v>112</v>
      </c>
      <c r="B9" s="96">
        <f>$A9*B$3+Budget!$N$11-Budget!$H$48-(Budget!$H$36-Budget!$H$29)-(Budget!$H$29/Budget!$E$11*'P&amp;Y chg'!B$3)</f>
        <v>-185.76702989206888</v>
      </c>
      <c r="C9" s="96">
        <f>$A9*C$3+Budget!$N$11-Budget!$H$48-(Budget!$H$36-Budget!$H$29)-(Budget!$H$29/Budget!$E$11*'P&amp;Y chg'!C$3)</f>
        <v>-83.81702989206889</v>
      </c>
      <c r="D9" s="96">
        <f>$A9*D$3+Budget!$N$11-Budget!$H$48-(Budget!$H$36-Budget!$H$29)-(Budget!$H$29/Budget!$E$11*'P&amp;Y chg'!D$3)</f>
        <v>18.132970107931122</v>
      </c>
      <c r="E9" s="112">
        <f>$A9*E$3+Budget!$N$11-Budget!$H$48-(Budget!$H$36-Budget!$H$29)-(Budget!$H$29/Budget!$E$11*'P&amp;Y chg'!E$3)</f>
        <v>120.08297010793117</v>
      </c>
      <c r="F9" s="96">
        <f>$A9*F$3+Budget!$N$11-Budget!$H$48-(Budget!$H$36-Budget!$H$29)-(Budget!$H$29/Budget!$E$11*'P&amp;Y chg'!F$3)</f>
        <v>222.03297010793113</v>
      </c>
      <c r="G9" s="96">
        <f>$A9*G$3+Budget!$N$11-Budget!$H$48-(Budget!$H$36-Budget!$H$29)-(Budget!$H$29/Budget!$E$11*'P&amp;Y chg'!G$3)</f>
        <v>323.9829701079311</v>
      </c>
      <c r="H9" s="96">
        <f>$A9*H$3+Budget!$N$11-Budget!$H$48-(Budget!$H$36-Budget!$H$29)-(Budget!$H$29/Budget!$E$11*'P&amp;Y chg'!H$3)</f>
        <v>425.9329701079313</v>
      </c>
    </row>
    <row r="10" spans="1:8" ht="19.5" customHeight="1">
      <c r="A10" s="159">
        <f>A9+'Price chg'!$B$11*Budget!$G$11</f>
        <v>128</v>
      </c>
      <c r="B10" s="94">
        <f>$A10*B$3+Budget!$N$11-Budget!$H$48-(Budget!$H$36-Budget!$H$29)-(Budget!$H$29/Budget!$E$11*'P&amp;Y chg'!B$3)</f>
        <v>-153.76702989206888</v>
      </c>
      <c r="C10" s="94">
        <f>$A10*C$3+Budget!$N$11-Budget!$H$48-(Budget!$H$36-Budget!$H$29)-(Budget!$H$29/Budget!$E$11*'P&amp;Y chg'!C$3)</f>
        <v>-35.81702989206888</v>
      </c>
      <c r="D10" s="94">
        <f>$A10*D$3+Budget!$N$11-Budget!$H$48-(Budget!$H$36-Budget!$H$29)-(Budget!$H$29/Budget!$E$11*'P&amp;Y chg'!D$3)</f>
        <v>82.13297010793119</v>
      </c>
      <c r="E10" s="113">
        <f>$A10*E$3+Budget!$N$11-Budget!$H$48-(Budget!$H$36-Budget!$H$29)-(Budget!$H$29/Budget!$E$11*'P&amp;Y chg'!E$3)</f>
        <v>200.08297010793117</v>
      </c>
      <c r="F10" s="94">
        <f>$A10*F$3+Budget!$N$11-Budget!$H$48-(Budget!$H$36-Budget!$H$29)-(Budget!$H$29/Budget!$E$11*'P&amp;Y chg'!F$3)</f>
        <v>318.03297010793113</v>
      </c>
      <c r="G10" s="94">
        <f>$A10*G$3+Budget!$N$11-Budget!$H$48-(Budget!$H$36-Budget!$H$29)-(Budget!$H$29/Budget!$E$11*'P&amp;Y chg'!G$3)</f>
        <v>435.98297010793124</v>
      </c>
      <c r="H10" s="94">
        <f>$A10*H$3+Budget!$N$11-Budget!$H$48-(Budget!$H$36-Budget!$H$29)-(Budget!$H$29/Budget!$E$11*'P&amp;Y chg'!H$3)</f>
        <v>553.9329701079313</v>
      </c>
    </row>
    <row r="11" ht="12.75">
      <c r="A11" s="87"/>
    </row>
  </sheetData>
  <sheetProtection sheet="1" objects="1" scenarios="1"/>
  <printOptions horizontalCentered="1" verticalCentered="1"/>
  <pageMargins left="0.75" right="0.75" top="1" bottom="1" header="0.5" footer="0.5"/>
  <pageSetup horizontalDpi="600" verticalDpi="600" orientation="landscape" scale="140"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K154"/>
  <sheetViews>
    <sheetView showZeros="0" workbookViewId="0" topLeftCell="A1">
      <pane xSplit="1" ySplit="3" topLeftCell="B4" activePane="bottomRight" state="frozen"/>
      <selection pane="topLeft" activeCell="A1" sqref="A1"/>
      <selection pane="topRight" activeCell="B1" sqref="B1"/>
      <selection pane="bottomLeft" activeCell="A3" sqref="A3"/>
      <selection pane="bottomRight" activeCell="H32" sqref="H32"/>
    </sheetView>
  </sheetViews>
  <sheetFormatPr defaultColWidth="9.140625" defaultRowHeight="12.75"/>
  <cols>
    <col min="1" max="1" width="30.140625" style="115" customWidth="1"/>
    <col min="2" max="2" width="10.7109375" style="140" customWidth="1"/>
    <col min="3" max="3" width="10.7109375" style="145" customWidth="1"/>
    <col min="4" max="4" width="9.28125" style="140" customWidth="1"/>
    <col min="5" max="5" width="7.7109375" style="115" customWidth="1"/>
    <col min="6" max="6" width="11.7109375" style="148" customWidth="1"/>
    <col min="7" max="7" width="9.421875" style="140" customWidth="1"/>
    <col min="8" max="8" width="11.421875" style="148" customWidth="1"/>
    <col min="9" max="9" width="11.28125" style="176" customWidth="1"/>
    <col min="10" max="10" width="10.7109375" style="116" customWidth="1"/>
    <col min="11" max="11" width="10.28125" style="135" customWidth="1"/>
    <col min="12" max="16384" width="8.8515625" style="117" customWidth="1"/>
  </cols>
  <sheetData>
    <row r="1" spans="1:11" ht="29.25" customHeight="1">
      <c r="A1" s="121" t="s">
        <v>176</v>
      </c>
      <c r="B1" s="136"/>
      <c r="C1" s="141"/>
      <c r="D1" s="136"/>
      <c r="E1" s="122"/>
      <c r="F1" s="146"/>
      <c r="G1" s="136"/>
      <c r="H1" s="146" t="s">
        <v>177</v>
      </c>
      <c r="I1" s="176" t="s">
        <v>177</v>
      </c>
      <c r="J1" s="123"/>
      <c r="K1" s="133"/>
    </row>
    <row r="2" spans="1:11" s="118" customFormat="1" ht="41.25" customHeight="1" thickBot="1">
      <c r="A2" s="124" t="s">
        <v>178</v>
      </c>
      <c r="B2" s="137" t="s">
        <v>179</v>
      </c>
      <c r="C2" s="142" t="s">
        <v>180</v>
      </c>
      <c r="D2" s="137" t="s">
        <v>181</v>
      </c>
      <c r="E2" s="125" t="s">
        <v>182</v>
      </c>
      <c r="F2" s="147" t="s">
        <v>188</v>
      </c>
      <c r="G2" s="137" t="s">
        <v>194</v>
      </c>
      <c r="H2" s="147" t="s">
        <v>183</v>
      </c>
      <c r="I2" s="127" t="s">
        <v>187</v>
      </c>
      <c r="J2" s="126" t="s">
        <v>189</v>
      </c>
      <c r="K2" s="134" t="s">
        <v>190</v>
      </c>
    </row>
    <row r="3" spans="1:11" ht="20.25">
      <c r="A3" s="128" t="s">
        <v>195</v>
      </c>
      <c r="B3" s="138"/>
      <c r="C3" s="138"/>
      <c r="D3" s="143"/>
      <c r="E3" s="129"/>
      <c r="F3" s="138"/>
      <c r="G3" s="138"/>
      <c r="H3" s="138"/>
      <c r="I3" s="177"/>
      <c r="J3" s="175">
        <f>SUM(J4:J154)</f>
        <v>9.0922</v>
      </c>
      <c r="K3" s="175">
        <f>SUM(K4:K154)</f>
        <v>202.80482989206882</v>
      </c>
    </row>
    <row r="4" spans="1:11" ht="12.75">
      <c r="A4" s="130" t="str">
        <f>Machinery!A4</f>
        <v>TRACTORS</v>
      </c>
      <c r="B4" s="139">
        <f>Machinery!J4</f>
        <v>0</v>
      </c>
      <c r="C4" s="144">
        <f>Machinery!K4</f>
      </c>
      <c r="D4" s="139">
        <f>Machinery!G4</f>
        <v>0</v>
      </c>
      <c r="E4" s="131">
        <f>Machinery!I4</f>
        <v>0</v>
      </c>
      <c r="F4" s="139">
        <f>IF(B4&lt;&gt;0,((B4-C4)*Machinery!Q4)+('Fixed Costs'!C4*'Prices &amp; Rates'!$C$4/100),0)</f>
        <v>0</v>
      </c>
      <c r="G4" s="139">
        <f>IF(B4&lt;&gt;0,Machinery!L4/100*(B4+C4)/2,0)</f>
        <v>0</v>
      </c>
      <c r="H4" s="139">
        <f>F4+G4</f>
        <v>0</v>
      </c>
      <c r="I4" s="178">
        <f>Machinery!R4</f>
        <v>0</v>
      </c>
      <c r="J4" s="132">
        <f>IF(I4&lt;&gt;0,I4/100*G4/Budget!$H$6,0)</f>
        <v>0</v>
      </c>
      <c r="K4" s="133">
        <f>IF(I4&lt;&gt;0,I4/100*F4/Budget!$H$6,0)</f>
        <v>0</v>
      </c>
    </row>
    <row r="5" spans="1:11" ht="12.75">
      <c r="A5" s="130" t="str">
        <f>Machinery!A5</f>
        <v>60 hp tractor</v>
      </c>
      <c r="B5" s="139">
        <f>Machinery!J5</f>
        <v>30750</v>
      </c>
      <c r="C5" s="144">
        <f>Machinery!K5</f>
        <v>6150</v>
      </c>
      <c r="D5" s="139">
        <f>Machinery!G5</f>
        <v>10000</v>
      </c>
      <c r="E5" s="131">
        <f>Machinery!I5</f>
        <v>300</v>
      </c>
      <c r="F5" s="139">
        <f>IF(B5&lt;&gt;0,((B5-C5)*Machinery!Q5)+('Fixed Costs'!C5*'Prices &amp; Rates'!$C$4/100),0)</f>
        <v>3504.5067694046256</v>
      </c>
      <c r="G5" s="139">
        <f>IF(B5&lt;&gt;0,Machinery!L5/100*(B5+C5)/2,0)</f>
        <v>184.5</v>
      </c>
      <c r="H5" s="139">
        <f>F5+G5</f>
        <v>3689.0067694046256</v>
      </c>
      <c r="I5" s="178">
        <f>Machinery!R5</f>
        <v>100</v>
      </c>
      <c r="J5" s="132">
        <f>IF(I5&lt;&gt;0,I5/100*G5/Budget!$H$6,0)</f>
        <v>1.845</v>
      </c>
      <c r="K5" s="133">
        <f>IF(I5&lt;&gt;0,I5/100*F5/Budget!$H$6,0)</f>
        <v>35.04506769404625</v>
      </c>
    </row>
    <row r="6" spans="1:11" ht="12.75">
      <c r="A6" s="130" t="str">
        <f>Machinery!A6</f>
        <v>70 hp tractor</v>
      </c>
      <c r="B6" s="139">
        <f>Machinery!J6</f>
        <v>40500</v>
      </c>
      <c r="C6" s="144">
        <f>Machinery!K6</f>
        <v>8100</v>
      </c>
      <c r="D6" s="139">
        <f>Machinery!G6</f>
        <v>10000</v>
      </c>
      <c r="E6" s="131">
        <f>Machinery!I6</f>
        <v>200</v>
      </c>
      <c r="F6" s="139">
        <f>IF(B6&lt;&gt;0,((B6-C6)*Machinery!Q6)+('Fixed Costs'!C6*'Prices &amp; Rates'!$C$4/100),0)</f>
        <v>4615.691842630483</v>
      </c>
      <c r="G6" s="139">
        <f>IF(B6&lt;&gt;0,Machinery!L6/100*(B6+C6)/2,0)</f>
        <v>243</v>
      </c>
      <c r="H6" s="139">
        <f aca="true" t="shared" si="0" ref="H6:H69">F6+G6</f>
        <v>4858.691842630483</v>
      </c>
      <c r="I6" s="178">
        <f>Machinery!R6</f>
        <v>0</v>
      </c>
      <c r="J6" s="132">
        <f>IF(I6&lt;&gt;0,I6/100*G6/Budget!$H$6,0)</f>
        <v>0</v>
      </c>
      <c r="K6" s="133">
        <f>IF(I6&lt;&gt;0,I6/100*F6/Budget!$H$6,0)</f>
        <v>0</v>
      </c>
    </row>
    <row r="7" spans="1:11" ht="12.75">
      <c r="A7" s="130" t="str">
        <f>Machinery!A7</f>
        <v>150 hp tractor</v>
      </c>
      <c r="B7" s="139">
        <f>Machinery!J7</f>
        <v>105000</v>
      </c>
      <c r="C7" s="144">
        <f>Machinery!K7</f>
        <v>21000</v>
      </c>
      <c r="D7" s="139">
        <f>Machinery!G7</f>
        <v>10000</v>
      </c>
      <c r="E7" s="131">
        <f>Machinery!I7</f>
        <v>400</v>
      </c>
      <c r="F7" s="139">
        <f>IF(B7&lt;&gt;0,((B7-C7)*Machinery!Q7)+('Fixed Costs'!C7*'Prices &amp; Rates'!$C$4/100),0)</f>
        <v>11966.608480893845</v>
      </c>
      <c r="G7" s="139">
        <f>IF(B7&lt;&gt;0,Machinery!L7/100*(B7+C7)/2,0)</f>
        <v>630</v>
      </c>
      <c r="H7" s="139">
        <f t="shared" si="0"/>
        <v>12596.608480893845</v>
      </c>
      <c r="I7" s="178">
        <f>Machinery!R7</f>
        <v>20</v>
      </c>
      <c r="J7" s="132">
        <f>IF(I7&lt;&gt;0,I7/100*G7/Budget!$H$6,0)</f>
        <v>1.26</v>
      </c>
      <c r="K7" s="133">
        <f>IF(I7&lt;&gt;0,I7/100*F7/Budget!$H$6,0)</f>
        <v>23.93321696178769</v>
      </c>
    </row>
    <row r="8" spans="1:11" ht="12.75">
      <c r="A8" s="130" t="str">
        <f>Machinery!A8</f>
        <v>160 hp tractor</v>
      </c>
      <c r="B8" s="139">
        <f>Machinery!J8</f>
        <v>110000</v>
      </c>
      <c r="C8" s="144">
        <f>Machinery!K8</f>
        <v>22000</v>
      </c>
      <c r="D8" s="139">
        <f>Machinery!G8</f>
        <v>10000</v>
      </c>
      <c r="E8" s="131">
        <f>Machinery!I8</f>
        <v>200</v>
      </c>
      <c r="F8" s="139">
        <f>IF(B8&lt;&gt;0,((B8-C8)*Machinery!Q8)+('Fixed Costs'!C8*'Prices &amp; Rates'!$C$4/100),0)</f>
        <v>12536.446979984026</v>
      </c>
      <c r="G8" s="139">
        <f>IF(B8&lt;&gt;0,Machinery!L8/100*(B8+C8)/2,0)</f>
        <v>660</v>
      </c>
      <c r="H8" s="139">
        <f t="shared" si="0"/>
        <v>13196.446979984026</v>
      </c>
      <c r="I8" s="178">
        <f>Machinery!R8</f>
        <v>20</v>
      </c>
      <c r="J8" s="132">
        <f>IF(I8&lt;&gt;0,I8/100*G8/Budget!$H$6,0)</f>
        <v>1.32</v>
      </c>
      <c r="K8" s="133">
        <f>IF(I8&lt;&gt;0,I8/100*F8/Budget!$H$6,0)</f>
        <v>25.072893959968056</v>
      </c>
    </row>
    <row r="9" spans="1:11" ht="12.75">
      <c r="A9" s="130">
        <f>Machinery!A9</f>
        <v>0</v>
      </c>
      <c r="B9" s="139">
        <f>Machinery!J9</f>
        <v>0</v>
      </c>
      <c r="C9" s="144">
        <f>Machinery!K9</f>
      </c>
      <c r="D9" s="139">
        <f>Machinery!G9</f>
        <v>0</v>
      </c>
      <c r="E9" s="131">
        <f>Machinery!I9</f>
        <v>0</v>
      </c>
      <c r="F9" s="139">
        <f>IF(B9&lt;&gt;0,((B9-C9)*Machinery!Q9)+('Fixed Costs'!C9*'Prices &amp; Rates'!$C$4/100),0)</f>
        <v>0</v>
      </c>
      <c r="G9" s="139">
        <f>IF(B9&lt;&gt;0,Machinery!L9/100*(B9+C9)/2,0)</f>
        <v>0</v>
      </c>
      <c r="H9" s="139">
        <f t="shared" si="0"/>
        <v>0</v>
      </c>
      <c r="I9" s="178">
        <f>Machinery!R9</f>
        <v>0</v>
      </c>
      <c r="J9" s="132">
        <f>IF(I9&lt;&gt;0,I9/100*G9/Budget!$H$6,0)</f>
        <v>0</v>
      </c>
      <c r="K9" s="133">
        <f>IF(I9&lt;&gt;0,I9/100*F9/Budget!$H$6,0)</f>
        <v>0</v>
      </c>
    </row>
    <row r="10" spans="1:11" ht="12.75">
      <c r="A10" s="130">
        <f>Machinery!A10</f>
        <v>0</v>
      </c>
      <c r="B10" s="139">
        <f>Machinery!J10</f>
        <v>0</v>
      </c>
      <c r="C10" s="144">
        <f>Machinery!K10</f>
      </c>
      <c r="D10" s="139">
        <f>Machinery!G10</f>
        <v>0</v>
      </c>
      <c r="E10" s="131">
        <f>Machinery!I10</f>
        <v>0</v>
      </c>
      <c r="F10" s="139">
        <f>IF(B10&lt;&gt;0,((B10-C10)*Machinery!Q10)+('Fixed Costs'!C10*'Prices &amp; Rates'!$C$4/100),0)</f>
        <v>0</v>
      </c>
      <c r="G10" s="139">
        <f>IF(B10&lt;&gt;0,Machinery!L10/100*(B10+C10)/2,0)</f>
        <v>0</v>
      </c>
      <c r="H10" s="139">
        <f t="shared" si="0"/>
        <v>0</v>
      </c>
      <c r="I10" s="178">
        <f>Machinery!R10</f>
        <v>0</v>
      </c>
      <c r="J10" s="132">
        <f>IF(I10&lt;&gt;0,I10/100*G10/Budget!$H$6,0)</f>
        <v>0</v>
      </c>
      <c r="K10" s="133">
        <f>IF(I10&lt;&gt;0,I10/100*F10/Budget!$H$6,0)</f>
        <v>0</v>
      </c>
    </row>
    <row r="11" spans="1:11" ht="12.75">
      <c r="A11" s="130">
        <f>Machinery!A11</f>
        <v>0</v>
      </c>
      <c r="B11" s="139">
        <f>Machinery!J11</f>
        <v>0</v>
      </c>
      <c r="C11" s="144">
        <f>Machinery!K11</f>
      </c>
      <c r="D11" s="139">
        <f>Machinery!G11</f>
        <v>0</v>
      </c>
      <c r="E11" s="131">
        <f>Machinery!I11</f>
        <v>0</v>
      </c>
      <c r="F11" s="139">
        <f>IF(B11&lt;&gt;0,((B11-C11)*Machinery!Q11)+('Fixed Costs'!C11*'Prices &amp; Rates'!$C$4/100),0)</f>
        <v>0</v>
      </c>
      <c r="G11" s="139">
        <f>IF(B11&lt;&gt;0,Machinery!L11/100*(B11+C11)/2,0)</f>
        <v>0</v>
      </c>
      <c r="H11" s="139">
        <f t="shared" si="0"/>
        <v>0</v>
      </c>
      <c r="I11" s="178">
        <f>Machinery!R11</f>
        <v>0</v>
      </c>
      <c r="J11" s="132">
        <f>IF(I11&lt;&gt;0,I11/100*G11/Budget!$H$6,0)</f>
        <v>0</v>
      </c>
      <c r="K11" s="133">
        <f>IF(I11&lt;&gt;0,I11/100*F11/Budget!$H$6,0)</f>
        <v>0</v>
      </c>
    </row>
    <row r="12" spans="1:11" ht="12.75">
      <c r="A12" s="130" t="str">
        <f>Machinery!A12</f>
        <v>HARVEST EQUIPMENT</v>
      </c>
      <c r="B12" s="139">
        <f>Machinery!J12</f>
        <v>0</v>
      </c>
      <c r="C12" s="144">
        <f>Machinery!K12</f>
      </c>
      <c r="D12" s="139">
        <f>Machinery!G12</f>
        <v>0</v>
      </c>
      <c r="E12" s="131">
        <f>Machinery!I12</f>
        <v>0</v>
      </c>
      <c r="F12" s="139">
        <f>IF(B12&lt;&gt;0,((B12-C12)*Machinery!Q12)+('Fixed Costs'!C12*'Prices &amp; Rates'!$C$4/100),0)</f>
        <v>0</v>
      </c>
      <c r="G12" s="139">
        <f>IF(B12&lt;&gt;0,Machinery!L12/100*(B12+C12)/2,0)</f>
        <v>0</v>
      </c>
      <c r="H12" s="139">
        <f t="shared" si="0"/>
        <v>0</v>
      </c>
      <c r="I12" s="178">
        <f>Machinery!R12</f>
        <v>0</v>
      </c>
      <c r="J12" s="132">
        <f>IF(I12&lt;&gt;0,I12/100*G12/Budget!$H$6,0)</f>
        <v>0</v>
      </c>
      <c r="K12" s="133">
        <f>IF(I12&lt;&gt;0,I12/100*F12/Budget!$H$6,0)</f>
        <v>0</v>
      </c>
    </row>
    <row r="13" spans="1:11" ht="12.75">
      <c r="A13" s="130">
        <f>Machinery!A13</f>
        <v>0</v>
      </c>
      <c r="B13" s="139">
        <f>Machinery!J13</f>
        <v>0</v>
      </c>
      <c r="C13" s="144">
        <f>Machinery!K13</f>
      </c>
      <c r="D13" s="139">
        <f>Machinery!G13</f>
        <v>0</v>
      </c>
      <c r="E13" s="131">
        <f>Machinery!I13</f>
        <v>0</v>
      </c>
      <c r="F13" s="139">
        <f>IF(B13&lt;&gt;0,((B13-C13)*Machinery!Q13)+('Fixed Costs'!C13*'Prices &amp; Rates'!$C$4/100),0)</f>
        <v>0</v>
      </c>
      <c r="G13" s="139">
        <f>IF(B13&lt;&gt;0,Machinery!L13/100*(B13+C13)/2,0)</f>
        <v>0</v>
      </c>
      <c r="H13" s="139">
        <f t="shared" si="0"/>
        <v>0</v>
      </c>
      <c r="I13" s="178">
        <f>Machinery!R13</f>
        <v>0</v>
      </c>
      <c r="J13" s="132">
        <f>IF(I13&lt;&gt;0,I13/100*G13/Budget!$H$6,0)</f>
        <v>0</v>
      </c>
      <c r="K13" s="133">
        <f>IF(I13&lt;&gt;0,I13/100*F13/Budget!$H$6,0)</f>
        <v>0</v>
      </c>
    </row>
    <row r="14" spans="1:11" ht="12.75">
      <c r="A14" s="130">
        <f>Machinery!A14</f>
        <v>0</v>
      </c>
      <c r="B14" s="139">
        <f>Machinery!J14</f>
        <v>0</v>
      </c>
      <c r="C14" s="144">
        <f>Machinery!K14</f>
      </c>
      <c r="D14" s="139">
        <f>Machinery!G14</f>
        <v>0</v>
      </c>
      <c r="E14" s="131">
        <f>Machinery!I14</f>
        <v>0</v>
      </c>
      <c r="F14" s="139">
        <f>IF(B14&lt;&gt;0,((B14-C14)*Machinery!Q14)+('Fixed Costs'!C14*'Prices &amp; Rates'!$C$4/100),0)</f>
        <v>0</v>
      </c>
      <c r="G14" s="139">
        <f>IF(B14&lt;&gt;0,Machinery!L14/100*(B14+C14)/2,0)</f>
        <v>0</v>
      </c>
      <c r="H14" s="139">
        <f t="shared" si="0"/>
        <v>0</v>
      </c>
      <c r="I14" s="178">
        <f>Machinery!R14</f>
        <v>0</v>
      </c>
      <c r="J14" s="132">
        <f>IF(I14&lt;&gt;0,I14/100*G14/Budget!$H$6,0)</f>
        <v>0</v>
      </c>
      <c r="K14" s="133">
        <f>IF(I14&lt;&gt;0,I14/100*F14/Budget!$H$6,0)</f>
        <v>0</v>
      </c>
    </row>
    <row r="15" spans="1:11" ht="12.75">
      <c r="A15" s="130">
        <f>Machinery!A15</f>
        <v>0</v>
      </c>
      <c r="B15" s="139">
        <f>Machinery!J15</f>
        <v>0</v>
      </c>
      <c r="C15" s="144">
        <f>Machinery!K15</f>
      </c>
      <c r="D15" s="139">
        <f>Machinery!G15</f>
        <v>0</v>
      </c>
      <c r="E15" s="131">
        <f>Machinery!I15</f>
        <v>0</v>
      </c>
      <c r="F15" s="139">
        <f>IF(B15&lt;&gt;0,((B15-C15)*Machinery!Q15)+('Fixed Costs'!C15*'Prices &amp; Rates'!$C$4/100),0)</f>
        <v>0</v>
      </c>
      <c r="G15" s="139">
        <f>IF(B15&lt;&gt;0,Machinery!L15/100*(B15+C15)/2,0)</f>
        <v>0</v>
      </c>
      <c r="H15" s="139">
        <f t="shared" si="0"/>
        <v>0</v>
      </c>
      <c r="I15" s="178">
        <f>Machinery!R15</f>
        <v>0</v>
      </c>
      <c r="J15" s="132">
        <f>IF(I15&lt;&gt;0,I15/100*G15/Budget!$H$6,0)</f>
        <v>0</v>
      </c>
      <c r="K15" s="133">
        <f>IF(I15&lt;&gt;0,I15/100*F15/Budget!$H$6,0)</f>
        <v>0</v>
      </c>
    </row>
    <row r="16" spans="1:11" ht="12.75">
      <c r="A16" s="130">
        <f>Machinery!A16</f>
        <v>0</v>
      </c>
      <c r="B16" s="139">
        <f>Machinery!J16</f>
        <v>0</v>
      </c>
      <c r="C16" s="144">
        <f>Machinery!K16</f>
      </c>
      <c r="D16" s="139">
        <f>Machinery!G16</f>
        <v>0</v>
      </c>
      <c r="E16" s="131">
        <f>Machinery!I16</f>
        <v>0</v>
      </c>
      <c r="F16" s="139">
        <f>IF(B16&lt;&gt;0,((B16-C16)*Machinery!Q16)+('Fixed Costs'!C16*'Prices &amp; Rates'!$C$4/100),0)</f>
        <v>0</v>
      </c>
      <c r="G16" s="139">
        <f>IF(B16&lt;&gt;0,Machinery!L16/100*(B16+C16)/2,0)</f>
        <v>0</v>
      </c>
      <c r="H16" s="139">
        <f t="shared" si="0"/>
        <v>0</v>
      </c>
      <c r="I16" s="178">
        <f>Machinery!R16</f>
        <v>0</v>
      </c>
      <c r="J16" s="132">
        <f>IF(I16&lt;&gt;0,I16/100*G16/Budget!$H$6,0)</f>
        <v>0</v>
      </c>
      <c r="K16" s="133">
        <f>IF(I16&lt;&gt;0,I16/100*F16/Budget!$H$6,0)</f>
        <v>0</v>
      </c>
    </row>
    <row r="17" spans="1:11" ht="12.75">
      <c r="A17" s="130" t="str">
        <f>Machinery!A17</f>
        <v>Combine</v>
      </c>
      <c r="B17" s="139">
        <f>Machinery!J17</f>
        <v>140000</v>
      </c>
      <c r="C17" s="144">
        <f>Machinery!K17</f>
        <v>28000</v>
      </c>
      <c r="D17" s="139">
        <f>Machinery!G17</f>
        <v>2000</v>
      </c>
      <c r="E17" s="131">
        <f>Machinery!I17</f>
        <v>200</v>
      </c>
      <c r="F17" s="139">
        <f>IF(B17&lt;&gt;0,((B17-C17)*Machinery!Q17)+('Fixed Costs'!C17*'Prices &amp; Rates'!$C$4/100),0)</f>
        <v>21027.48422684129</v>
      </c>
      <c r="G17" s="139">
        <f>IF(B17&lt;&gt;0,Machinery!L17/100*(B17+C17)/2,0)</f>
        <v>840</v>
      </c>
      <c r="H17" s="139">
        <f t="shared" si="0"/>
        <v>21867.48422684129</v>
      </c>
      <c r="I17" s="178">
        <f>Machinery!R17</f>
        <v>20</v>
      </c>
      <c r="J17" s="132">
        <f>IF(I17&lt;&gt;0,I17/100*G17/Budget!$H$6,0)</f>
        <v>1.68</v>
      </c>
      <c r="K17" s="133">
        <f>IF(I17&lt;&gt;0,I17/100*F17/Budget!$H$6,0)</f>
        <v>42.054968453682584</v>
      </c>
    </row>
    <row r="18" spans="1:11" ht="12.75">
      <c r="A18" s="130">
        <f>Machinery!A18</f>
        <v>0</v>
      </c>
      <c r="B18" s="139">
        <f>Machinery!J18</f>
        <v>0</v>
      </c>
      <c r="C18" s="144">
        <f>Machinery!K18</f>
      </c>
      <c r="D18" s="139">
        <f>Machinery!G18</f>
        <v>0</v>
      </c>
      <c r="E18" s="131">
        <f>Machinery!I18</f>
        <v>0</v>
      </c>
      <c r="F18" s="139">
        <f>IF(B18&lt;&gt;0,((B18-C18)*Machinery!Q18)+('Fixed Costs'!C18*'Prices &amp; Rates'!$C$4/100),0)</f>
        <v>0</v>
      </c>
      <c r="G18" s="139">
        <f>IF(B18&lt;&gt;0,Machinery!L18/100*(B18+C18)/2,0)</f>
        <v>0</v>
      </c>
      <c r="H18" s="139">
        <f t="shared" si="0"/>
        <v>0</v>
      </c>
      <c r="I18" s="178">
        <f>Machinery!R18</f>
        <v>0</v>
      </c>
      <c r="J18" s="132">
        <f>IF(I18&lt;&gt;0,I18/100*G18/Budget!$H$6,0)</f>
        <v>0</v>
      </c>
      <c r="K18" s="133">
        <f>IF(I18&lt;&gt;0,I18/100*F18/Budget!$H$6,0)</f>
        <v>0</v>
      </c>
    </row>
    <row r="19" spans="1:11" ht="12.75">
      <c r="A19" s="130">
        <f>Machinery!A19</f>
        <v>0</v>
      </c>
      <c r="B19" s="139">
        <f>Machinery!J19</f>
        <v>0</v>
      </c>
      <c r="C19" s="144">
        <f>Machinery!K19</f>
      </c>
      <c r="D19" s="139">
        <f>Machinery!G19</f>
        <v>0</v>
      </c>
      <c r="E19" s="131">
        <f>Machinery!I19</f>
        <v>0</v>
      </c>
      <c r="F19" s="139">
        <f>IF(B19&lt;&gt;0,((B19-C19)*Machinery!Q19)+('Fixed Costs'!C19*'Prices &amp; Rates'!$C$4/100),0)</f>
        <v>0</v>
      </c>
      <c r="G19" s="139">
        <f>IF(B19&lt;&gt;0,Machinery!L19/100*(B19+C19)/2,0)</f>
        <v>0</v>
      </c>
      <c r="H19" s="139">
        <f t="shared" si="0"/>
        <v>0</v>
      </c>
      <c r="I19" s="178">
        <f>Machinery!R19</f>
        <v>0</v>
      </c>
      <c r="J19" s="132">
        <f>IF(I19&lt;&gt;0,I19/100*G19/Budget!$H$6,0)</f>
        <v>0</v>
      </c>
      <c r="K19" s="133">
        <f>IF(I19&lt;&gt;0,I19/100*F19/Budget!$H$6,0)</f>
        <v>0</v>
      </c>
    </row>
    <row r="20" spans="1:11" ht="12.75">
      <c r="A20" s="130">
        <f>Machinery!A20</f>
        <v>0</v>
      </c>
      <c r="B20" s="139">
        <f>Machinery!J20</f>
        <v>0</v>
      </c>
      <c r="C20" s="144">
        <f>Machinery!K20</f>
      </c>
      <c r="D20" s="139">
        <f>Machinery!G20</f>
        <v>0</v>
      </c>
      <c r="E20" s="131">
        <f>Machinery!I20</f>
        <v>0</v>
      </c>
      <c r="F20" s="139">
        <f>IF(B20&lt;&gt;0,((B20-C20)*Machinery!Q20)+('Fixed Costs'!C20*'Prices &amp; Rates'!$C$4/100),0)</f>
        <v>0</v>
      </c>
      <c r="G20" s="139">
        <f>IF(B20&lt;&gt;0,Machinery!L20/100*(B20+C20)/2,0)</f>
        <v>0</v>
      </c>
      <c r="H20" s="139">
        <f t="shared" si="0"/>
        <v>0</v>
      </c>
      <c r="I20" s="178">
        <f>Machinery!R20</f>
        <v>0</v>
      </c>
      <c r="J20" s="132">
        <f>IF(I20&lt;&gt;0,I20/100*G20/Budget!$H$6,0)</f>
        <v>0</v>
      </c>
      <c r="K20" s="133">
        <f>IF(I20&lt;&gt;0,I20/100*F20/Budget!$H$6,0)</f>
        <v>0</v>
      </c>
    </row>
    <row r="21" spans="1:11" ht="12.75">
      <c r="A21" s="130">
        <f>Machinery!A21</f>
        <v>0</v>
      </c>
      <c r="B21" s="139">
        <f>Machinery!J21</f>
        <v>0</v>
      </c>
      <c r="C21" s="144">
        <f>Machinery!K21</f>
      </c>
      <c r="D21" s="139">
        <f>Machinery!G21</f>
        <v>0</v>
      </c>
      <c r="E21" s="131">
        <f>Machinery!I21</f>
        <v>0</v>
      </c>
      <c r="F21" s="139">
        <f>IF(B21&lt;&gt;0,((B21-C21)*Machinery!Q21)+('Fixed Costs'!C21*'Prices &amp; Rates'!$C$4/100),0)</f>
        <v>0</v>
      </c>
      <c r="G21" s="139">
        <f>IF(B21&lt;&gt;0,Machinery!L21/100*(B21+C21)/2,0)</f>
        <v>0</v>
      </c>
      <c r="H21" s="139">
        <f t="shared" si="0"/>
        <v>0</v>
      </c>
      <c r="I21" s="178">
        <f>Machinery!R21</f>
        <v>0</v>
      </c>
      <c r="J21" s="132">
        <f>IF(I21&lt;&gt;0,I21/100*G21/Budget!$H$6,0)</f>
        <v>0</v>
      </c>
      <c r="K21" s="133">
        <f>IF(I21&lt;&gt;0,I21/100*F21/Budget!$H$6,0)</f>
        <v>0</v>
      </c>
    </row>
    <row r="22" spans="1:11" ht="12.75">
      <c r="A22" s="130">
        <f>Machinery!A22</f>
        <v>0</v>
      </c>
      <c r="B22" s="139">
        <f>Machinery!J22</f>
        <v>0</v>
      </c>
      <c r="C22" s="144">
        <f>Machinery!K22</f>
      </c>
      <c r="D22" s="139">
        <f>Machinery!G22</f>
        <v>0</v>
      </c>
      <c r="E22" s="131">
        <f>Machinery!I22</f>
        <v>0</v>
      </c>
      <c r="F22" s="139">
        <f>IF(B22&lt;&gt;0,((B22-C22)*Machinery!Q22)+('Fixed Costs'!C22*'Prices &amp; Rates'!$C$4/100),0)</f>
        <v>0</v>
      </c>
      <c r="G22" s="139">
        <f>IF(B22&lt;&gt;0,Machinery!L22/100*(B22+C22)/2,0)</f>
        <v>0</v>
      </c>
      <c r="H22" s="139">
        <f t="shared" si="0"/>
        <v>0</v>
      </c>
      <c r="I22" s="178">
        <f>Machinery!R22</f>
        <v>0</v>
      </c>
      <c r="J22" s="132">
        <f>IF(I22&lt;&gt;0,I22/100*G22/Budget!$H$6,0)</f>
        <v>0</v>
      </c>
      <c r="K22" s="133">
        <f>IF(I22&lt;&gt;0,I22/100*F22/Budget!$H$6,0)</f>
        <v>0</v>
      </c>
    </row>
    <row r="23" spans="1:11" ht="12.75">
      <c r="A23" s="130">
        <f>Machinery!A23</f>
        <v>0</v>
      </c>
      <c r="B23" s="139">
        <f>Machinery!J23</f>
        <v>0</v>
      </c>
      <c r="C23" s="144">
        <f>Machinery!K23</f>
      </c>
      <c r="D23" s="139">
        <f>Machinery!G23</f>
        <v>0</v>
      </c>
      <c r="E23" s="131">
        <f>Machinery!I23</f>
        <v>0</v>
      </c>
      <c r="F23" s="139">
        <f>IF(B23&lt;&gt;0,((B23-C23)*Machinery!Q23)+('Fixed Costs'!C23*'Prices &amp; Rates'!$C$4/100),0)</f>
        <v>0</v>
      </c>
      <c r="G23" s="139">
        <f>IF(B23&lt;&gt;0,Machinery!L23/100*(B23+C23)/2,0)</f>
        <v>0</v>
      </c>
      <c r="H23" s="139">
        <f t="shared" si="0"/>
        <v>0</v>
      </c>
      <c r="I23" s="178">
        <f>Machinery!R23</f>
        <v>0</v>
      </c>
      <c r="J23" s="132">
        <f>IF(I23&lt;&gt;0,I23/100*G23/Budget!$H$6,0)</f>
        <v>0</v>
      </c>
      <c r="K23" s="133">
        <f>IF(I23&lt;&gt;0,I23/100*F23/Budget!$H$6,0)</f>
        <v>0</v>
      </c>
    </row>
    <row r="24" spans="1:11" ht="12.75">
      <c r="A24" s="130">
        <f>Machinery!A24</f>
        <v>0</v>
      </c>
      <c r="B24" s="139">
        <f>Machinery!J24</f>
        <v>0</v>
      </c>
      <c r="C24" s="144">
        <f>Machinery!K24</f>
      </c>
      <c r="D24" s="139">
        <f>Machinery!G24</f>
        <v>0</v>
      </c>
      <c r="E24" s="131">
        <f>Machinery!I24</f>
        <v>0</v>
      </c>
      <c r="F24" s="139">
        <f>IF(B24&lt;&gt;0,((B24-C24)*Machinery!Q24)+('Fixed Costs'!C24*'Prices &amp; Rates'!$C$4/100),0)</f>
        <v>0</v>
      </c>
      <c r="G24" s="139">
        <f>IF(B24&lt;&gt;0,Machinery!L24/100*(B24+C24)/2,0)</f>
        <v>0</v>
      </c>
      <c r="H24" s="139">
        <f t="shared" si="0"/>
        <v>0</v>
      </c>
      <c r="I24" s="178">
        <f>Machinery!R24</f>
        <v>0</v>
      </c>
      <c r="J24" s="132">
        <f>IF(I24&lt;&gt;0,I24/100*G24/Budget!$H$6,0)</f>
        <v>0</v>
      </c>
      <c r="K24" s="133">
        <f>IF(I24&lt;&gt;0,I24/100*F24/Budget!$H$6,0)</f>
        <v>0</v>
      </c>
    </row>
    <row r="25" spans="1:11" ht="12.75">
      <c r="A25" s="130" t="str">
        <f>Machinery!A25</f>
        <v>TILLAGE EQUIPMENT</v>
      </c>
      <c r="B25" s="139">
        <f>Machinery!J25</f>
        <v>0</v>
      </c>
      <c r="C25" s="144">
        <f>Machinery!K25</f>
      </c>
      <c r="D25" s="139">
        <f>Machinery!G25</f>
        <v>0</v>
      </c>
      <c r="E25" s="131">
        <f>Machinery!I25</f>
        <v>0</v>
      </c>
      <c r="F25" s="139">
        <f>IF(B25&lt;&gt;0,((B25-C25)*Machinery!Q25)+('Fixed Costs'!C25*'Prices &amp; Rates'!$C$4/100),0)</f>
        <v>0</v>
      </c>
      <c r="G25" s="139">
        <f>IF(B25&lt;&gt;0,Machinery!L25/100*(B25+C25)/2,0)</f>
        <v>0</v>
      </c>
      <c r="H25" s="139">
        <f t="shared" si="0"/>
        <v>0</v>
      </c>
      <c r="I25" s="178">
        <f>Machinery!R25</f>
        <v>0</v>
      </c>
      <c r="J25" s="132">
        <f>IF(I25&lt;&gt;0,I25/100*G25/Budget!$H$6,0)</f>
        <v>0</v>
      </c>
      <c r="K25" s="133">
        <f>IF(I25&lt;&gt;0,I25/100*F25/Budget!$H$6,0)</f>
        <v>0</v>
      </c>
    </row>
    <row r="26" spans="1:11" ht="12.75">
      <c r="A26" s="130" t="str">
        <f>Machinery!A26</f>
        <v>Disk</v>
      </c>
      <c r="B26" s="139">
        <f>Machinery!J26</f>
        <v>29500</v>
      </c>
      <c r="C26" s="144">
        <f>Machinery!K26</f>
        <v>5900</v>
      </c>
      <c r="D26" s="139">
        <f>Machinery!G26</f>
        <v>2000</v>
      </c>
      <c r="E26" s="131">
        <f>Machinery!I26</f>
        <v>65</v>
      </c>
      <c r="F26" s="139">
        <f>IF(B26&lt;&gt;0,((B26-C26)*Machinery!Q26)+('Fixed Costs'!C26*'Prices &amp; Rates'!$C$4/100),0)</f>
        <v>3362.04714463208</v>
      </c>
      <c r="G26" s="139">
        <f>IF(B26&lt;&gt;0,Machinery!L26/100*(B26+C26)/2,0)</f>
        <v>177</v>
      </c>
      <c r="H26" s="139">
        <f t="shared" si="0"/>
        <v>3539.04714463208</v>
      </c>
      <c r="I26" s="178">
        <f>Machinery!R26</f>
        <v>20</v>
      </c>
      <c r="J26" s="132">
        <f>IF(I26&lt;&gt;0,I26/100*G26/Budget!$H$6,0)</f>
        <v>0.354</v>
      </c>
      <c r="K26" s="133">
        <f>IF(I26&lt;&gt;0,I26/100*F26/Budget!$H$6,0)</f>
        <v>6.72409428926416</v>
      </c>
    </row>
    <row r="27" spans="1:11" ht="12.75">
      <c r="A27" s="130" t="str">
        <f>Machinery!A27</f>
        <v>Field cultivator</v>
      </c>
      <c r="B27" s="139">
        <f>Machinery!J27</f>
        <v>9600</v>
      </c>
      <c r="C27" s="144">
        <f>Machinery!K27</f>
        <v>1920</v>
      </c>
      <c r="D27" s="139">
        <f>Machinery!G27</f>
        <v>2000</v>
      </c>
      <c r="E27" s="131">
        <f>Machinery!I27</f>
        <v>85</v>
      </c>
      <c r="F27" s="139">
        <f>IF(B27&lt;&gt;0,((B27-C27)*Machinery!Q27)+('Fixed Costs'!C27*'Prices &amp; Rates'!$C$4/100),0)</f>
        <v>1094.0899182531516</v>
      </c>
      <c r="G27" s="139">
        <f>IF(B27&lt;&gt;0,Machinery!L27/100*(B27+C27)/2,0)</f>
        <v>57.6</v>
      </c>
      <c r="H27" s="139">
        <f t="shared" si="0"/>
        <v>1151.6899182531515</v>
      </c>
      <c r="I27" s="178">
        <f>Machinery!R27</f>
        <v>20</v>
      </c>
      <c r="J27" s="132">
        <f>IF(I27&lt;&gt;0,I27/100*G27/Budget!$H$6,0)</f>
        <v>0.11520000000000001</v>
      </c>
      <c r="K27" s="133">
        <f>IF(I27&lt;&gt;0,I27/100*F27/Budget!$H$6,0)</f>
        <v>2.188179836506303</v>
      </c>
    </row>
    <row r="28" spans="1:11" ht="12.75">
      <c r="A28" s="130" t="str">
        <f>Machinery!A28</f>
        <v>Harrow, spring tooth</v>
      </c>
      <c r="B28" s="139">
        <f>Machinery!J28</f>
        <v>6900</v>
      </c>
      <c r="C28" s="144">
        <f>Machinery!K28</f>
        <v>1380</v>
      </c>
      <c r="D28" s="139">
        <f>Machinery!G28</f>
        <v>2000</v>
      </c>
      <c r="E28" s="131">
        <f>Machinery!I28</f>
        <v>50</v>
      </c>
      <c r="F28" s="139">
        <f>IF(B28&lt;&gt;0,((B28-C28)*Machinery!Q28)+('Fixed Costs'!C28*'Prices &amp; Rates'!$C$4/100),0)</f>
        <v>786.3771287444526</v>
      </c>
      <c r="G28" s="139">
        <f>IF(B28&lt;&gt;0,Machinery!L28/100*(B28+C28)/2,0)</f>
        <v>41.4</v>
      </c>
      <c r="H28" s="139">
        <f t="shared" si="0"/>
        <v>827.7771287444526</v>
      </c>
      <c r="I28" s="178">
        <f>Machinery!R28</f>
        <v>20</v>
      </c>
      <c r="J28" s="132">
        <f>IF(I28&lt;&gt;0,I28/100*G28/Budget!$H$6,0)</f>
        <v>0.0828</v>
      </c>
      <c r="K28" s="133">
        <f>IF(I28&lt;&gt;0,I28/100*F28/Budget!$H$6,0)</f>
        <v>1.5727542574889055</v>
      </c>
    </row>
    <row r="29" spans="1:11" ht="12.75">
      <c r="A29" s="130" t="str">
        <f>Machinery!A29</f>
        <v>Flail Chopper</v>
      </c>
      <c r="B29" s="139">
        <f>Machinery!J29</f>
        <v>11500</v>
      </c>
      <c r="C29" s="144">
        <f>Machinery!K29</f>
        <v>2300</v>
      </c>
      <c r="D29" s="139">
        <f>Machinery!G29</f>
        <v>4800</v>
      </c>
      <c r="E29" s="131">
        <f>Machinery!I29</f>
        <v>100</v>
      </c>
      <c r="F29" s="139">
        <f>IF(B29&lt;&gt;0,((B29-C29)*Machinery!Q29)+('Fixed Costs'!C29*'Prices &amp; Rates'!$C$4/100),0)</f>
        <v>1310.628547907421</v>
      </c>
      <c r="G29" s="139">
        <f>IF(B29&lt;&gt;0,Machinery!L29/100*(B29+C29)/2,0)</f>
        <v>69</v>
      </c>
      <c r="H29" s="139">
        <f t="shared" si="0"/>
        <v>1379.628547907421</v>
      </c>
      <c r="I29" s="178">
        <f>Machinery!R29</f>
        <v>20</v>
      </c>
      <c r="J29" s="132">
        <f>IF(I29&lt;&gt;0,I29/100*G29/Budget!$H$6,0)</f>
        <v>0.138</v>
      </c>
      <c r="K29" s="133">
        <f>IF(I29&lt;&gt;0,I29/100*F29/Budget!$H$6,0)</f>
        <v>2.6212570958148422</v>
      </c>
    </row>
    <row r="30" spans="1:11" ht="12.75">
      <c r="A30" s="130" t="str">
        <f>Machinery!A30</f>
        <v>Plow. moldboard</v>
      </c>
      <c r="B30" s="139">
        <f>Machinery!J30</f>
        <v>10500</v>
      </c>
      <c r="C30" s="144">
        <f>Machinery!K30</f>
        <v>2100</v>
      </c>
      <c r="D30" s="139">
        <f>Machinery!G30</f>
        <v>2000</v>
      </c>
      <c r="E30" s="131">
        <f>Machinery!I30</f>
        <v>250</v>
      </c>
      <c r="F30" s="139">
        <f>IF(B30&lt;&gt;0,((B30-C30)*Machinery!Q30)+('Fixed Costs'!C30*'Prices &amp; Rates'!$C$4/100),0)</f>
        <v>1784.5297476284322</v>
      </c>
      <c r="G30" s="139">
        <f>IF(B30&lt;&gt;0,Machinery!L30/100*(B30+C30)/2,0)</f>
        <v>63</v>
      </c>
      <c r="H30" s="139">
        <f t="shared" si="0"/>
        <v>1847.5297476284322</v>
      </c>
      <c r="I30" s="178">
        <f>Machinery!R30</f>
        <v>20</v>
      </c>
      <c r="J30" s="132">
        <f>IF(I30&lt;&gt;0,I30/100*G30/Budget!$H$6,0)</f>
        <v>0.126</v>
      </c>
      <c r="K30" s="133">
        <f>IF(I30&lt;&gt;0,I30/100*F30/Budget!$H$6,0)</f>
        <v>3.5690594952568646</v>
      </c>
    </row>
    <row r="31" spans="1:11" ht="12.75">
      <c r="A31" s="130">
        <f>Machinery!A31</f>
        <v>0</v>
      </c>
      <c r="B31" s="139">
        <f>Machinery!J31</f>
        <v>0</v>
      </c>
      <c r="C31" s="144">
        <f>Machinery!K31</f>
      </c>
      <c r="D31" s="139">
        <f>Machinery!G31</f>
        <v>0</v>
      </c>
      <c r="E31" s="131">
        <f>Machinery!I31</f>
        <v>0</v>
      </c>
      <c r="F31" s="139">
        <f>IF(B31&lt;&gt;0,((B31-C31)*Machinery!Q31)+('Fixed Costs'!C31*'Prices &amp; Rates'!$C$4/100),0)</f>
        <v>0</v>
      </c>
      <c r="G31" s="139">
        <f>IF(B31&lt;&gt;0,Machinery!L31/100*(B31+C31)/2,0)</f>
        <v>0</v>
      </c>
      <c r="H31" s="139">
        <f t="shared" si="0"/>
        <v>0</v>
      </c>
      <c r="I31" s="178">
        <f>Machinery!R31</f>
        <v>0</v>
      </c>
      <c r="J31" s="132">
        <f>IF(I31&lt;&gt;0,I31/100*G31/Budget!$H$6,0)</f>
        <v>0</v>
      </c>
      <c r="K31" s="133">
        <f>IF(I31&lt;&gt;0,I31/100*F31/Budget!$H$6,0)</f>
        <v>0</v>
      </c>
    </row>
    <row r="32" spans="1:11" ht="12.75">
      <c r="A32" s="130">
        <f>Machinery!A32</f>
        <v>0</v>
      </c>
      <c r="B32" s="139">
        <f>Machinery!J32</f>
        <v>0</v>
      </c>
      <c r="C32" s="144">
        <f>Machinery!K32</f>
      </c>
      <c r="D32" s="139">
        <f>Machinery!G32</f>
        <v>0</v>
      </c>
      <c r="E32" s="131">
        <f>Machinery!I32</f>
        <v>0</v>
      </c>
      <c r="F32" s="139">
        <f>IF(B32&lt;&gt;0,((B32-C32)*Machinery!Q32)+('Fixed Costs'!C32*'Prices &amp; Rates'!$C$4/100),0)</f>
        <v>0</v>
      </c>
      <c r="G32" s="139">
        <f>IF(B32&lt;&gt;0,Machinery!L32/100*(B32+C32)/2,0)</f>
        <v>0</v>
      </c>
      <c r="H32" s="139">
        <f t="shared" si="0"/>
        <v>0</v>
      </c>
      <c r="I32" s="178">
        <f>Machinery!R32</f>
        <v>0</v>
      </c>
      <c r="J32" s="132">
        <f>IF(I32&lt;&gt;0,I32/100*G32/Budget!$H$6,0)</f>
        <v>0</v>
      </c>
      <c r="K32" s="133">
        <f>IF(I32&lt;&gt;0,I32/100*F32/Budget!$H$6,0)</f>
        <v>0</v>
      </c>
    </row>
    <row r="33" spans="1:11" ht="12.75">
      <c r="A33" s="130" t="str">
        <f>Machinery!A33</f>
        <v>Row crop cultivator</v>
      </c>
      <c r="B33" s="139">
        <f>Machinery!J33</f>
        <v>5900</v>
      </c>
      <c r="C33" s="144">
        <f>Machinery!K33</f>
        <v>1180</v>
      </c>
      <c r="D33" s="139">
        <f>Machinery!G33</f>
        <v>2000</v>
      </c>
      <c r="E33" s="131">
        <f>Machinery!I33</f>
        <v>100</v>
      </c>
      <c r="F33" s="139">
        <f>IF(B33&lt;&gt;0,((B33-C33)*Machinery!Q33)+('Fixed Costs'!C33*'Prices &amp; Rates'!$C$4/100),0)</f>
        <v>672.409428926416</v>
      </c>
      <c r="G33" s="139">
        <f>IF(B33&lt;&gt;0,Machinery!L33/100*(B33+C33)/2,0)</f>
        <v>35.4</v>
      </c>
      <c r="H33" s="139">
        <f t="shared" si="0"/>
        <v>707.809428926416</v>
      </c>
      <c r="I33" s="178">
        <f>Machinery!R33</f>
        <v>20</v>
      </c>
      <c r="J33" s="132">
        <f>IF(I33&lt;&gt;0,I33/100*G33/Budget!$H$6,0)</f>
        <v>0.0708</v>
      </c>
      <c r="K33" s="133">
        <f>IF(I33&lt;&gt;0,I33/100*F33/Budget!$H$6,0)</f>
        <v>1.344818857852832</v>
      </c>
    </row>
    <row r="34" spans="1:11" ht="12.75">
      <c r="A34" s="130" t="str">
        <f>Machinery!A34</f>
        <v>Harrow/cultivator comb.</v>
      </c>
      <c r="B34" s="139">
        <f>Machinery!J34</f>
        <v>22400</v>
      </c>
      <c r="C34" s="144">
        <f>Machinery!K34</f>
        <v>4480</v>
      </c>
      <c r="D34" s="139">
        <f>Machinery!G34</f>
        <v>2000</v>
      </c>
      <c r="E34" s="131">
        <f>Machinery!I34</f>
        <v>85</v>
      </c>
      <c r="F34" s="139">
        <f>IF(B34&lt;&gt;0,((B34-C34)*Machinery!Q34)+('Fixed Costs'!C34*'Prices &amp; Rates'!$C$4/100),0)</f>
        <v>2552.8764759240203</v>
      </c>
      <c r="G34" s="139">
        <f>IF(B34&lt;&gt;0,Machinery!L34/100*(B34+C34)/2,0)</f>
        <v>134.4</v>
      </c>
      <c r="H34" s="139">
        <f t="shared" si="0"/>
        <v>2687.2764759240204</v>
      </c>
      <c r="I34" s="178">
        <f>Machinery!R34</f>
        <v>20</v>
      </c>
      <c r="J34" s="132">
        <f>IF(I34&lt;&gt;0,I34/100*G34/Budget!$H$6,0)</f>
        <v>0.26880000000000004</v>
      </c>
      <c r="K34" s="133">
        <f>IF(I34&lt;&gt;0,I34/100*F34/Budget!$H$6,0)</f>
        <v>5.105752951848041</v>
      </c>
    </row>
    <row r="35" spans="1:11" ht="12.75">
      <c r="A35" s="130" t="str">
        <f>Machinery!A35</f>
        <v>PLANTING EQUIPMENT</v>
      </c>
      <c r="B35" s="139">
        <f>Machinery!J35</f>
        <v>0</v>
      </c>
      <c r="C35" s="144">
        <f>Machinery!K35</f>
      </c>
      <c r="D35" s="139">
        <f>Machinery!G35</f>
        <v>0</v>
      </c>
      <c r="E35" s="131">
        <f>Machinery!I35</f>
        <v>0</v>
      </c>
      <c r="F35" s="139">
        <f>IF(B35&lt;&gt;0,((B35-C35)*Machinery!Q35)+('Fixed Costs'!C35*'Prices &amp; Rates'!$C$4/100),0)</f>
        <v>0</v>
      </c>
      <c r="G35" s="139">
        <f>IF(B35&lt;&gt;0,Machinery!L35/100*(B35+C35)/2,0)</f>
        <v>0</v>
      </c>
      <c r="H35" s="139">
        <f t="shared" si="0"/>
        <v>0</v>
      </c>
      <c r="I35" s="178">
        <f>Machinery!R35</f>
        <v>0</v>
      </c>
      <c r="J35" s="132">
        <f>IF(I35&lt;&gt;0,I35/100*G35/Budget!$H$6,0)</f>
        <v>0</v>
      </c>
      <c r="K35" s="133">
        <f>IF(I35&lt;&gt;0,I35/100*F35/Budget!$H$6,0)</f>
        <v>0</v>
      </c>
    </row>
    <row r="36" spans="1:11" ht="12.75">
      <c r="A36" s="130" t="str">
        <f>Machinery!A36</f>
        <v>No till drill</v>
      </c>
      <c r="B36" s="139">
        <f>Machinery!J36</f>
        <v>12500</v>
      </c>
      <c r="C36" s="144">
        <f>Machinery!K36</f>
        <v>2500</v>
      </c>
      <c r="D36" s="139">
        <f>Machinery!G36</f>
        <v>1200</v>
      </c>
      <c r="E36" s="131">
        <f>Machinery!I36</f>
        <v>75</v>
      </c>
      <c r="F36" s="139">
        <f>IF(B36&lt;&gt;0,((B36-C36)*Machinery!Q36)+('Fixed Costs'!C36*'Prices &amp; Rates'!$C$4/100),0)</f>
        <v>1528.1662070326981</v>
      </c>
      <c r="G36" s="139">
        <f>IF(B36&lt;&gt;0,Machinery!L36/100*(B36+C36)/2,0)</f>
        <v>75</v>
      </c>
      <c r="H36" s="139">
        <f t="shared" si="0"/>
        <v>1603.1662070326981</v>
      </c>
      <c r="I36" s="178">
        <f>Machinery!R36</f>
        <v>20</v>
      </c>
      <c r="J36" s="132">
        <f>IF(I36&lt;&gt;0,I36/100*G36/Budget!$H$6,0)</f>
        <v>0.15</v>
      </c>
      <c r="K36" s="133">
        <f>IF(I36&lt;&gt;0,I36/100*F36/Budget!$H$6,0)</f>
        <v>3.0563324140653965</v>
      </c>
    </row>
    <row r="37" spans="1:11" ht="12.75">
      <c r="A37" s="130" t="str">
        <f>Machinery!A37</f>
        <v>Planter</v>
      </c>
      <c r="B37" s="139">
        <f>Machinery!J37</f>
        <v>15000</v>
      </c>
      <c r="C37" s="144">
        <f>Machinery!K37</f>
        <v>3000</v>
      </c>
      <c r="D37" s="139">
        <f>Machinery!G37</f>
        <v>1200</v>
      </c>
      <c r="E37" s="131">
        <f>Machinery!I37</f>
        <v>150</v>
      </c>
      <c r="F37" s="139">
        <f>IF(B37&lt;&gt;0,((B37-C37)*Machinery!Q37)+('Fixed Costs'!C37*'Prices &amp; Rates'!$C$4/100),0)</f>
        <v>2549.32821089776</v>
      </c>
      <c r="G37" s="139">
        <f>IF(B37&lt;&gt;0,Machinery!L37/100*(B37+C37)/2,0)</f>
        <v>90</v>
      </c>
      <c r="H37" s="139">
        <f t="shared" si="0"/>
        <v>2639.32821089776</v>
      </c>
      <c r="I37" s="178">
        <f>Machinery!R37</f>
        <v>20</v>
      </c>
      <c r="J37" s="132">
        <f>IF(I37&lt;&gt;0,I37/100*G37/Budget!$H$6,0)</f>
        <v>0.18</v>
      </c>
      <c r="K37" s="133">
        <f>IF(I37&lt;&gt;0,I37/100*F37/Budget!$H$6,0)</f>
        <v>5.09865642179552</v>
      </c>
    </row>
    <row r="38" spans="1:11" ht="12.75">
      <c r="A38" s="130">
        <f>Machinery!A38</f>
        <v>0</v>
      </c>
      <c r="B38" s="139">
        <f>Machinery!J38</f>
        <v>0</v>
      </c>
      <c r="C38" s="144">
        <f>Machinery!K38</f>
      </c>
      <c r="D38" s="139">
        <f>Machinery!G38</f>
        <v>0</v>
      </c>
      <c r="E38" s="131">
        <f>Machinery!I38</f>
        <v>0</v>
      </c>
      <c r="F38" s="139">
        <f>IF(B38&lt;&gt;0,((B38-C38)*Machinery!Q38)+('Fixed Costs'!C38*'Prices &amp; Rates'!$C$4/100),0)</f>
        <v>0</v>
      </c>
      <c r="G38" s="139">
        <f>IF(B38&lt;&gt;0,Machinery!L38/100*(B38+C38)/2,0)</f>
        <v>0</v>
      </c>
      <c r="H38" s="139">
        <f t="shared" si="0"/>
        <v>0</v>
      </c>
      <c r="I38" s="178">
        <f>Machinery!R38</f>
        <v>0</v>
      </c>
      <c r="J38" s="132">
        <f>IF(I38&lt;&gt;0,I38/100*G38/Budget!$H$6,0)</f>
        <v>0</v>
      </c>
      <c r="K38" s="133">
        <f>IF(I38&lt;&gt;0,I38/100*F38/Budget!$H$6,0)</f>
        <v>0</v>
      </c>
    </row>
    <row r="39" spans="1:11" ht="12.75">
      <c r="A39" s="130" t="str">
        <f>Machinery!A39</f>
        <v>OTHER EQUIPMENT</v>
      </c>
      <c r="B39" s="139">
        <f>Machinery!J39</f>
        <v>0</v>
      </c>
      <c r="C39" s="144">
        <f>Machinery!K39</f>
      </c>
      <c r="D39" s="139">
        <f>Machinery!G39</f>
        <v>0</v>
      </c>
      <c r="E39" s="131">
        <f>Machinery!I39</f>
        <v>0</v>
      </c>
      <c r="F39" s="139">
        <f>IF(B39&lt;&gt;0,((B39-C39)*Machinery!Q39)+('Fixed Costs'!C39*'Prices &amp; Rates'!$C$4/100),0)</f>
        <v>0</v>
      </c>
      <c r="G39" s="139">
        <f>IF(B39&lt;&gt;0,Machinery!L39/100*(B39+C39)/2,0)</f>
        <v>0</v>
      </c>
      <c r="H39" s="139">
        <f t="shared" si="0"/>
        <v>0</v>
      </c>
      <c r="I39" s="178">
        <f>Machinery!R39</f>
        <v>0</v>
      </c>
      <c r="J39" s="132">
        <f>IF(I39&lt;&gt;0,I39/100*G39/Budget!$H$6,0)</f>
        <v>0</v>
      </c>
      <c r="K39" s="133">
        <f>IF(I39&lt;&gt;0,I39/100*F39/Budget!$H$6,0)</f>
        <v>0</v>
      </c>
    </row>
    <row r="40" spans="1:11" ht="12.75">
      <c r="A40" s="130" t="str">
        <f>Machinery!A40</f>
        <v>Fertilizer spreader</v>
      </c>
      <c r="B40" s="139">
        <f>Machinery!J40</f>
        <v>5200</v>
      </c>
      <c r="C40" s="144">
        <f>Machinery!K40</f>
        <v>1040</v>
      </c>
      <c r="D40" s="139">
        <f>Machinery!G40</f>
        <v>2000</v>
      </c>
      <c r="E40" s="131">
        <f>Machinery!I40</f>
        <v>165</v>
      </c>
      <c r="F40" s="139">
        <f>IF(B40&lt;&gt;0,((B40-C40)*Machinery!Q40)+('Fixed Costs'!C40*'Prices &amp; Rates'!$C$4/100),0)</f>
        <v>711.2735051634638</v>
      </c>
      <c r="G40" s="139">
        <f>IF(B40&lt;&gt;0,Machinery!L40/100*(B40+C40)/2,0)</f>
        <v>31.2</v>
      </c>
      <c r="H40" s="139">
        <f t="shared" si="0"/>
        <v>742.4735051634639</v>
      </c>
      <c r="I40" s="178">
        <f>Machinery!R40</f>
        <v>20</v>
      </c>
      <c r="J40" s="132">
        <f>IF(I40&lt;&gt;0,I40/100*G40/Budget!$H$6,0)</f>
        <v>0.062400000000000004</v>
      </c>
      <c r="K40" s="133">
        <f>IF(I40&lt;&gt;0,I40/100*F40/Budget!$H$6,0)</f>
        <v>1.4225470103269275</v>
      </c>
    </row>
    <row r="41" spans="1:11" ht="12.75">
      <c r="A41" s="130">
        <f>Machinery!A41</f>
        <v>0</v>
      </c>
      <c r="B41" s="139">
        <f>Machinery!J41</f>
        <v>0</v>
      </c>
      <c r="C41" s="144">
        <f>Machinery!K41</f>
      </c>
      <c r="D41" s="139">
        <f>Machinery!G41</f>
        <v>0</v>
      </c>
      <c r="E41" s="131">
        <f>Machinery!I41</f>
        <v>0</v>
      </c>
      <c r="F41" s="139">
        <f>IF(B41&lt;&gt;0,((B41-C41)*Machinery!Q41)+('Fixed Costs'!C41*'Prices &amp; Rates'!$C$4/100),0)</f>
        <v>0</v>
      </c>
      <c r="G41" s="139">
        <f>IF(B41&lt;&gt;0,Machinery!L41/100*(B41+C41)/2,0)</f>
        <v>0</v>
      </c>
      <c r="H41" s="139">
        <f t="shared" si="0"/>
        <v>0</v>
      </c>
      <c r="I41" s="178">
        <f>Machinery!R41</f>
        <v>0</v>
      </c>
      <c r="J41" s="132">
        <f>IF(I41&lt;&gt;0,I41/100*G41/Budget!$H$6,0)</f>
        <v>0</v>
      </c>
      <c r="K41" s="133">
        <f>IF(I41&lt;&gt;0,I41/100*F41/Budget!$H$6,0)</f>
        <v>0</v>
      </c>
    </row>
    <row r="42" spans="1:11" ht="12.75">
      <c r="A42" s="130">
        <f>Machinery!A42</f>
        <v>0</v>
      </c>
      <c r="B42" s="139">
        <f>Machinery!J42</f>
        <v>0</v>
      </c>
      <c r="C42" s="144">
        <f>Machinery!K42</f>
      </c>
      <c r="D42" s="139">
        <f>Machinery!G42</f>
        <v>0</v>
      </c>
      <c r="E42" s="131">
        <f>Machinery!I42</f>
        <v>0</v>
      </c>
      <c r="F42" s="139">
        <f>IF(B42&lt;&gt;0,((B42-C42)*Machinery!Q42)+('Fixed Costs'!C42*'Prices &amp; Rates'!$C$4/100),0)</f>
        <v>0</v>
      </c>
      <c r="G42" s="139">
        <f>IF(B42&lt;&gt;0,Machinery!L42/100*(B42+C42)/2,0)</f>
        <v>0</v>
      </c>
      <c r="H42" s="139">
        <f t="shared" si="0"/>
        <v>0</v>
      </c>
      <c r="I42" s="178">
        <f>Machinery!R42</f>
        <v>0</v>
      </c>
      <c r="J42" s="132">
        <f>IF(I42&lt;&gt;0,I42/100*G42/Budget!$H$6,0)</f>
        <v>0</v>
      </c>
      <c r="K42" s="133">
        <f>IF(I42&lt;&gt;0,I42/100*F42/Budget!$H$6,0)</f>
        <v>0</v>
      </c>
    </row>
    <row r="43" spans="1:11" ht="12.75">
      <c r="A43" s="130" t="str">
        <f>Machinery!A43</f>
        <v>Sprayer, boom-type</v>
      </c>
      <c r="B43" s="139">
        <f>Machinery!J43</f>
        <v>5500</v>
      </c>
      <c r="C43" s="144">
        <f>Machinery!K43</f>
        <v>1100</v>
      </c>
      <c r="D43" s="139">
        <f>Machinery!G43</f>
        <v>1500</v>
      </c>
      <c r="E43" s="131">
        <f>Machinery!I43</f>
        <v>200</v>
      </c>
      <c r="F43" s="139">
        <f>IF(B43&lt;&gt;0,((B43-C43)*Machinery!Q43)+('Fixed Costs'!C43*'Prices &amp; Rates'!$C$4/100),0)</f>
        <v>971.5238762897535</v>
      </c>
      <c r="G43" s="139">
        <f>IF(B43&lt;&gt;0,Machinery!L43/100*(B43+C43)/2,0)</f>
        <v>33</v>
      </c>
      <c r="H43" s="139">
        <f t="shared" si="0"/>
        <v>1004.5238762897535</v>
      </c>
      <c r="I43" s="178">
        <f>Machinery!R43</f>
        <v>20</v>
      </c>
      <c r="J43" s="132">
        <f>IF(I43&lt;&gt;0,I43/100*G43/Budget!$H$6,0)</f>
        <v>0.066</v>
      </c>
      <c r="K43" s="133">
        <f>IF(I43&lt;&gt;0,I43/100*F43/Budget!$H$6,0)</f>
        <v>1.9430477525795071</v>
      </c>
    </row>
    <row r="44" spans="1:11" ht="12.75">
      <c r="A44" s="130">
        <f>Machinery!A44</f>
        <v>0</v>
      </c>
      <c r="B44" s="139">
        <f>Machinery!J44</f>
        <v>0</v>
      </c>
      <c r="C44" s="144">
        <f>Machinery!K44</f>
      </c>
      <c r="D44" s="139">
        <f>Machinery!G44</f>
        <v>0</v>
      </c>
      <c r="E44" s="131">
        <f>Machinery!I44</f>
        <v>0</v>
      </c>
      <c r="F44" s="139">
        <f>IF(B44&lt;&gt;0,((B44-C44)*Machinery!Q44)+('Fixed Costs'!C44*'Prices &amp; Rates'!$C$4/100),0)</f>
        <v>0</v>
      </c>
      <c r="G44" s="139">
        <f>IF(B44&lt;&gt;0,Machinery!L44/100*(B44+C44)/2,0)</f>
        <v>0</v>
      </c>
      <c r="H44" s="139">
        <f t="shared" si="0"/>
        <v>0</v>
      </c>
      <c r="I44" s="178">
        <f>Machinery!R44</f>
        <v>0</v>
      </c>
      <c r="J44" s="132">
        <f>IF(I44&lt;&gt;0,I44/100*G44/Budget!$H$6,0)</f>
        <v>0</v>
      </c>
      <c r="K44" s="133">
        <f>IF(I44&lt;&gt;0,I44/100*F44/Budget!$H$6,0)</f>
        <v>0</v>
      </c>
    </row>
    <row r="45" spans="1:11" ht="12.75">
      <c r="A45" s="130">
        <f>Machinery!A45</f>
        <v>0</v>
      </c>
      <c r="B45" s="139">
        <f>Machinery!J45</f>
        <v>0</v>
      </c>
      <c r="C45" s="144">
        <f>Machinery!K45</f>
      </c>
      <c r="D45" s="139">
        <f>Machinery!G45</f>
        <v>0</v>
      </c>
      <c r="E45" s="131">
        <f>Machinery!I45</f>
        <v>0</v>
      </c>
      <c r="F45" s="139">
        <f>IF(B45&lt;&gt;0,((B45-C45)*Machinery!Q45)+('Fixed Costs'!C45*'Prices &amp; Rates'!$C$4/100),0)</f>
        <v>0</v>
      </c>
      <c r="G45" s="139">
        <f>IF(B45&lt;&gt;0,Machinery!L45/100*(B45+C45)/2,0)</f>
        <v>0</v>
      </c>
      <c r="H45" s="139">
        <f t="shared" si="0"/>
        <v>0</v>
      </c>
      <c r="I45" s="178">
        <f>Machinery!R45</f>
        <v>0</v>
      </c>
      <c r="J45" s="132">
        <f>IF(I45&lt;&gt;0,I45/100*G45/Budget!$H$6,0)</f>
        <v>0</v>
      </c>
      <c r="K45" s="133">
        <f>IF(I45&lt;&gt;0,I45/100*F45/Budget!$H$6,0)</f>
        <v>0</v>
      </c>
    </row>
    <row r="46" spans="1:11" ht="12.75">
      <c r="A46" s="130">
        <f>Machinery!A46</f>
        <v>0</v>
      </c>
      <c r="B46" s="139">
        <f>Machinery!J46</f>
        <v>0</v>
      </c>
      <c r="C46" s="144">
        <f>Machinery!K46</f>
      </c>
      <c r="D46" s="139">
        <f>Machinery!G46</f>
        <v>0</v>
      </c>
      <c r="E46" s="131">
        <f>Machinery!I46</f>
        <v>0</v>
      </c>
      <c r="F46" s="139">
        <f>IF(B46&lt;&gt;0,((B46-C46)*Machinery!Q46)+('Fixed Costs'!C46*'Prices &amp; Rates'!$C$4/100),0)</f>
        <v>0</v>
      </c>
      <c r="G46" s="139">
        <f>IF(B46&lt;&gt;0,Machinery!L46/100*(B46+C46)/2,0)</f>
        <v>0</v>
      </c>
      <c r="H46" s="139">
        <f t="shared" si="0"/>
        <v>0</v>
      </c>
      <c r="I46" s="178">
        <f>Machinery!R46</f>
        <v>0</v>
      </c>
      <c r="J46" s="132">
        <f>IF(I46&lt;&gt;0,I46/100*G46/Budget!$H$6,0)</f>
        <v>0</v>
      </c>
      <c r="K46" s="133">
        <f>IF(I46&lt;&gt;0,I46/100*F46/Budget!$H$6,0)</f>
        <v>0</v>
      </c>
    </row>
    <row r="47" spans="1:11" ht="12.75">
      <c r="A47" s="130">
        <f>Machinery!A47</f>
        <v>0</v>
      </c>
      <c r="B47" s="139">
        <f>Machinery!J47</f>
        <v>0</v>
      </c>
      <c r="C47" s="144">
        <f>Machinery!K47</f>
      </c>
      <c r="D47" s="139">
        <f>Machinery!G47</f>
        <v>0</v>
      </c>
      <c r="E47" s="131">
        <f>Machinery!I47</f>
        <v>0</v>
      </c>
      <c r="F47" s="139">
        <f>IF(B47&lt;&gt;0,((B47-C47)*Machinery!Q47)+('Fixed Costs'!C47*'Prices &amp; Rates'!$C$4/100),0)</f>
        <v>0</v>
      </c>
      <c r="G47" s="139">
        <f>IF(B47&lt;&gt;0,Machinery!L47/100*(B47+C47)/2,0)</f>
        <v>0</v>
      </c>
      <c r="H47" s="139">
        <f t="shared" si="0"/>
        <v>0</v>
      </c>
      <c r="I47" s="178">
        <f>Machinery!R47</f>
        <v>0</v>
      </c>
      <c r="J47" s="132">
        <f>IF(I47&lt;&gt;0,I47/100*G47/Budget!$H$6,0)</f>
        <v>0</v>
      </c>
      <c r="K47" s="133">
        <f>IF(I47&lt;&gt;0,I47/100*F47/Budget!$H$6,0)</f>
        <v>0</v>
      </c>
    </row>
    <row r="48" spans="1:11" ht="12.75">
      <c r="A48" s="130">
        <f>Machinery!A48</f>
        <v>0</v>
      </c>
      <c r="B48" s="139">
        <f>Machinery!J48</f>
        <v>0</v>
      </c>
      <c r="C48" s="144">
        <f>Machinery!K48</f>
      </c>
      <c r="D48" s="139">
        <f>Machinery!G48</f>
        <v>0</v>
      </c>
      <c r="E48" s="131">
        <f>Machinery!I48</f>
        <v>0</v>
      </c>
      <c r="F48" s="139">
        <f>IF(B48&lt;&gt;0,((B48-C48)*Machinery!Q48)+('Fixed Costs'!C48*'Prices &amp; Rates'!$C$4/100),0)</f>
        <v>0</v>
      </c>
      <c r="G48" s="139">
        <f>IF(B48&lt;&gt;0,Machinery!L48/100*(B48+C48)/2,0)</f>
        <v>0</v>
      </c>
      <c r="H48" s="139">
        <f t="shared" si="0"/>
        <v>0</v>
      </c>
      <c r="I48" s="178">
        <f>Machinery!R48</f>
        <v>0</v>
      </c>
      <c r="J48" s="132">
        <f>IF(I48&lt;&gt;0,I48/100*G48/Budget!$H$6,0)</f>
        <v>0</v>
      </c>
      <c r="K48" s="133">
        <f>IF(I48&lt;&gt;0,I48/100*F48/Budget!$H$6,0)</f>
        <v>0</v>
      </c>
    </row>
    <row r="49" spans="1:11" ht="12.75">
      <c r="A49" s="130" t="str">
        <f>Machinery!A49</f>
        <v>Roller 16 ft</v>
      </c>
      <c r="B49" s="139">
        <f>Machinery!J49</f>
        <v>9900</v>
      </c>
      <c r="C49" s="144">
        <f>Machinery!K49</f>
        <v>1980</v>
      </c>
      <c r="D49" s="139">
        <f>Machinery!G49</f>
        <v>2000</v>
      </c>
      <c r="E49" s="131">
        <f>Machinery!I49</f>
        <v>150</v>
      </c>
      <c r="F49" s="139">
        <f>IF(B49&lt;&gt;0,((B49-C49)*Machinery!Q49)+('Fixed Costs'!C49*'Prices &amp; Rates'!$C$4/100),0)</f>
        <v>1298.9271849715494</v>
      </c>
      <c r="G49" s="139">
        <f>IF(B49&lt;&gt;0,Machinery!L49/100*(B49+C49)/2,0)</f>
        <v>59.4</v>
      </c>
      <c r="H49" s="139">
        <f t="shared" si="0"/>
        <v>1358.3271849715495</v>
      </c>
      <c r="I49" s="178">
        <f>Machinery!R49</f>
        <v>20</v>
      </c>
      <c r="J49" s="132">
        <f>IF(I49&lt;&gt;0,I49/100*G49/Budget!$H$6,0)</f>
        <v>0.1188</v>
      </c>
      <c r="K49" s="133">
        <f>IF(I49&lt;&gt;0,I49/100*F49/Budget!$H$6,0)</f>
        <v>2.597854369943099</v>
      </c>
    </row>
    <row r="50" spans="1:11" ht="12.75">
      <c r="A50" s="130" t="str">
        <f>Machinery!A50</f>
        <v>Roller 14 ft</v>
      </c>
      <c r="B50" s="139">
        <f>Machinery!J50</f>
        <v>8700</v>
      </c>
      <c r="C50" s="144">
        <f>Machinery!K50</f>
        <v>1740</v>
      </c>
      <c r="D50" s="139">
        <f>Machinery!G50</f>
        <v>2000</v>
      </c>
      <c r="E50" s="131">
        <f>Machinery!I50</f>
        <v>150</v>
      </c>
      <c r="F50" s="139">
        <f>IF(B50&lt;&gt;0,((B50-C50)*Machinery!Q50)+('Fixed Costs'!C50*'Prices &amp; Rates'!$C$4/100),0)</f>
        <v>1141.4814655810587</v>
      </c>
      <c r="G50" s="139">
        <f>IF(B50&lt;&gt;0,Machinery!L50/100*(B50+C50)/2,0)</f>
        <v>52.2</v>
      </c>
      <c r="H50" s="139">
        <f t="shared" si="0"/>
        <v>1193.6814655810588</v>
      </c>
      <c r="I50" s="178">
        <f>Machinery!R50</f>
        <v>20</v>
      </c>
      <c r="J50" s="132">
        <f>IF(I50&lt;&gt;0,I50/100*G50/Budget!$H$6,0)</f>
        <v>0.1044</v>
      </c>
      <c r="K50" s="133">
        <f>IF(I50&lt;&gt;0,I50/100*F50/Budget!$H$6,0)</f>
        <v>2.2829629311621176</v>
      </c>
    </row>
    <row r="51" spans="1:11" ht="12.75">
      <c r="A51" s="130">
        <f>Machinery!A51</f>
        <v>0</v>
      </c>
      <c r="B51" s="139">
        <f>Machinery!J51</f>
        <v>0</v>
      </c>
      <c r="C51" s="144">
        <f>Machinery!K51</f>
      </c>
      <c r="D51" s="139">
        <f>Machinery!G51</f>
        <v>0</v>
      </c>
      <c r="E51" s="131">
        <f>Machinery!I51</f>
        <v>0</v>
      </c>
      <c r="F51" s="139">
        <f>IF(B51&lt;&gt;0,((B51-C51)*Machinery!Q51)+('Fixed Costs'!C51*'Prices &amp; Rates'!$C$4/100),0)</f>
        <v>0</v>
      </c>
      <c r="G51" s="139">
        <f>IF(B51&lt;&gt;0,Machinery!L51/100*(B51+C51)/2,0)</f>
        <v>0</v>
      </c>
      <c r="H51" s="139">
        <f t="shared" si="0"/>
        <v>0</v>
      </c>
      <c r="I51" s="178">
        <f>Machinery!R51</f>
        <v>0</v>
      </c>
      <c r="J51" s="132">
        <f>IF(I51&lt;&gt;0,I51/100*G51/Budget!$H$6,0)</f>
        <v>0</v>
      </c>
      <c r="K51" s="133">
        <f>IF(I51&lt;&gt;0,I51/100*F51/Budget!$H$6,0)</f>
        <v>0</v>
      </c>
    </row>
    <row r="52" spans="1:11" ht="12.75">
      <c r="A52" s="130">
        <f>Machinery!A52</f>
        <v>0</v>
      </c>
      <c r="B52" s="139">
        <f>Machinery!J52</f>
        <v>0</v>
      </c>
      <c r="C52" s="144">
        <f>Machinery!K52</f>
      </c>
      <c r="D52" s="139">
        <f>Machinery!G52</f>
        <v>0</v>
      </c>
      <c r="E52" s="131">
        <f>Machinery!I52</f>
        <v>0</v>
      </c>
      <c r="F52" s="139">
        <f>IF(B52&lt;&gt;0,((B52-C52)*Machinery!Q52)+('Fixed Costs'!C52*'Prices &amp; Rates'!$C$4/100),0)</f>
        <v>0</v>
      </c>
      <c r="G52" s="139">
        <f>IF(B52&lt;&gt;0,Machinery!L52/100*(B52+C52)/2,0)</f>
        <v>0</v>
      </c>
      <c r="H52" s="139">
        <f t="shared" si="0"/>
        <v>0</v>
      </c>
      <c r="I52" s="178">
        <f>Machinery!R52</f>
        <v>0</v>
      </c>
      <c r="J52" s="132">
        <f>IF(I52&lt;&gt;0,I52/100*G52/Budget!$H$6,0)</f>
        <v>0</v>
      </c>
      <c r="K52" s="133">
        <f>IF(I52&lt;&gt;0,I52/100*F52/Budget!$H$6,0)</f>
        <v>0</v>
      </c>
    </row>
    <row r="53" spans="1:11" ht="12.75">
      <c r="A53" s="130" t="str">
        <f>Machinery!A53</f>
        <v>Irrigation System</v>
      </c>
      <c r="B53" s="139">
        <f>Machinery!J53</f>
        <v>11000</v>
      </c>
      <c r="C53" s="144">
        <f>Machinery!K53</f>
        <v>0</v>
      </c>
      <c r="D53" s="139">
        <f>Machinery!G53</f>
        <v>20</v>
      </c>
      <c r="E53" s="131">
        <f>Machinery!I53</f>
        <v>1</v>
      </c>
      <c r="F53" s="139">
        <f>IF(B53&lt;&gt;0,((B53-C53)*Machinery!Q53)+('Fixed Costs'!C53*'Prices &amp; Rates'!$C$4/100),0)</f>
        <v>1292.0558724980033</v>
      </c>
      <c r="G53" s="139">
        <f>IF(B53&lt;&gt;0,Machinery!L53/100*(B53+C53)/2,0)</f>
        <v>0</v>
      </c>
      <c r="H53" s="139">
        <f t="shared" si="0"/>
        <v>1292.0558724980033</v>
      </c>
      <c r="I53" s="178">
        <f>Machinery!R53</f>
        <v>100</v>
      </c>
      <c r="J53" s="132">
        <f>IF(I53&lt;&gt;0,I53/100*G53/Budget!$H$6,0)</f>
        <v>0</v>
      </c>
      <c r="K53" s="133">
        <f>IF(I53&lt;&gt;0,I53/100*F53/Budget!$H$6,0)</f>
        <v>12.920558724980033</v>
      </c>
    </row>
    <row r="54" spans="1:11" ht="12.75">
      <c r="A54" s="130">
        <f>Machinery!A54</f>
        <v>0</v>
      </c>
      <c r="B54" s="139">
        <f>Machinery!J54</f>
        <v>0</v>
      </c>
      <c r="C54" s="144">
        <f>Machinery!K54</f>
      </c>
      <c r="D54" s="139">
        <f>Machinery!G54</f>
        <v>0</v>
      </c>
      <c r="E54" s="131">
        <f>Machinery!I54</f>
        <v>0</v>
      </c>
      <c r="F54" s="139">
        <f>IF(B54&lt;&gt;0,((B54-C54)*Machinery!Q54)+('Fixed Costs'!C54*'Prices &amp; Rates'!$C$4/100),0)</f>
        <v>0</v>
      </c>
      <c r="G54" s="139">
        <f>IF(B54&lt;&gt;0,Machinery!L54/100*(B54+C54)/2,0)</f>
        <v>0</v>
      </c>
      <c r="H54" s="139">
        <f t="shared" si="0"/>
        <v>0</v>
      </c>
      <c r="I54" s="178">
        <f>Machinery!R54</f>
        <v>0</v>
      </c>
      <c r="J54" s="132">
        <f>IF(I54&lt;&gt;0,I54/100*G54/Budget!$H$6,0)</f>
        <v>0</v>
      </c>
      <c r="K54" s="133">
        <f>IF(I54&lt;&gt;0,I54/100*F54/Budget!$H$6,0)</f>
        <v>0</v>
      </c>
    </row>
    <row r="55" spans="1:11" ht="12.75">
      <c r="A55" s="130">
        <f>Machinery!A55</f>
        <v>0</v>
      </c>
      <c r="B55" s="139">
        <f>Machinery!J55</f>
        <v>0</v>
      </c>
      <c r="C55" s="144">
        <f>Machinery!K55</f>
      </c>
      <c r="D55" s="139">
        <f>Machinery!G55</f>
        <v>0</v>
      </c>
      <c r="E55" s="131">
        <f>Machinery!I55</f>
        <v>0</v>
      </c>
      <c r="F55" s="139">
        <f>IF(B55&lt;&gt;0,((B55-C55)*Machinery!Q55)+('Fixed Costs'!C55*'Prices &amp; Rates'!$C$4/100),0)</f>
        <v>0</v>
      </c>
      <c r="G55" s="139">
        <f>IF(B55&lt;&gt;0,Machinery!L55/100*(B55+C55)/2,0)</f>
        <v>0</v>
      </c>
      <c r="H55" s="139">
        <f t="shared" si="0"/>
        <v>0</v>
      </c>
      <c r="I55" s="178">
        <f>Machinery!R55</f>
        <v>0</v>
      </c>
      <c r="J55" s="132">
        <f>IF(I55&lt;&gt;0,I55/100*G55/Budget!$H$6,0)</f>
        <v>0</v>
      </c>
      <c r="K55" s="133">
        <f>IF(I55&lt;&gt;0,I55/100*F55/Budget!$H$6,0)</f>
        <v>0</v>
      </c>
    </row>
    <row r="56" spans="1:11" ht="12.75">
      <c r="A56" s="130">
        <f>Machinery!A56</f>
        <v>0</v>
      </c>
      <c r="B56" s="139">
        <f>Machinery!J56</f>
        <v>0</v>
      </c>
      <c r="C56" s="144">
        <f>Machinery!K56</f>
      </c>
      <c r="D56" s="139">
        <f>Machinery!G56</f>
        <v>0</v>
      </c>
      <c r="E56" s="131">
        <f>Machinery!I56</f>
        <v>0</v>
      </c>
      <c r="F56" s="139">
        <f>IF(B56&lt;&gt;0,((B56-C56)*Machinery!Q56)+('Fixed Costs'!C56*'Prices &amp; Rates'!$C$4/100),0)</f>
        <v>0</v>
      </c>
      <c r="G56" s="139">
        <f>IF(B56&lt;&gt;0,Machinery!L56/100*(B56+C56)/2,0)</f>
        <v>0</v>
      </c>
      <c r="H56" s="139">
        <f t="shared" si="0"/>
        <v>0</v>
      </c>
      <c r="I56" s="178">
        <f>Machinery!R56</f>
        <v>0</v>
      </c>
      <c r="J56" s="132">
        <f>IF(I56&lt;&gt;0,I56/100*G56/Budget!$H$6,0)</f>
        <v>0</v>
      </c>
      <c r="K56" s="133">
        <f>IF(I56&lt;&gt;0,I56/100*F56/Budget!$H$6,0)</f>
        <v>0</v>
      </c>
    </row>
    <row r="57" spans="1:11" ht="12.75">
      <c r="A57" s="130">
        <f>Machinery!A57</f>
        <v>0</v>
      </c>
      <c r="B57" s="139">
        <f>Machinery!J57</f>
        <v>0</v>
      </c>
      <c r="C57" s="144">
        <f>Machinery!K57</f>
      </c>
      <c r="D57" s="139">
        <f>Machinery!G57</f>
        <v>0</v>
      </c>
      <c r="E57" s="131">
        <f>Machinery!I57</f>
        <v>0</v>
      </c>
      <c r="F57" s="139">
        <f>IF(B57&lt;&gt;0,((B57-C57)*Machinery!Q57)+('Fixed Costs'!C57*'Prices &amp; Rates'!$C$4/100),0)</f>
        <v>0</v>
      </c>
      <c r="G57" s="139">
        <f>IF(B57&lt;&gt;0,Machinery!L57/100*(B57+C57)/2,0)</f>
        <v>0</v>
      </c>
      <c r="H57" s="139">
        <f t="shared" si="0"/>
        <v>0</v>
      </c>
      <c r="I57" s="178">
        <f>Machinery!R57</f>
        <v>0</v>
      </c>
      <c r="J57" s="132">
        <f>IF(I57&lt;&gt;0,I57/100*G57/Budget!$H$6,0)</f>
        <v>0</v>
      </c>
      <c r="K57" s="133">
        <f>IF(I57&lt;&gt;0,I57/100*F57/Budget!$H$6,0)</f>
        <v>0</v>
      </c>
    </row>
    <row r="58" spans="1:11" ht="12.75">
      <c r="A58" s="130">
        <f>Machinery!A58</f>
        <v>0</v>
      </c>
      <c r="B58" s="139">
        <f>Machinery!J58</f>
        <v>0</v>
      </c>
      <c r="C58" s="144">
        <f>Machinery!K58</f>
      </c>
      <c r="D58" s="139">
        <f>Machinery!G58</f>
        <v>0</v>
      </c>
      <c r="E58" s="131">
        <f>Machinery!I58</f>
        <v>0</v>
      </c>
      <c r="F58" s="139">
        <f>IF(B58&lt;&gt;0,((B58-C58)*Machinery!Q58)+('Fixed Costs'!C58*'Prices &amp; Rates'!$C$4/100),0)</f>
        <v>0</v>
      </c>
      <c r="G58" s="139">
        <f>IF(B58&lt;&gt;0,Machinery!L58/100*(B58+C58)/2,0)</f>
        <v>0</v>
      </c>
      <c r="H58" s="139">
        <f t="shared" si="0"/>
        <v>0</v>
      </c>
      <c r="I58" s="178">
        <f>Machinery!R58</f>
        <v>0</v>
      </c>
      <c r="J58" s="132">
        <f>IF(I58&lt;&gt;0,I58/100*G58/Budget!$H$6,0)</f>
        <v>0</v>
      </c>
      <c r="K58" s="133">
        <f>IF(I58&lt;&gt;0,I58/100*F58/Budget!$H$6,0)</f>
        <v>0</v>
      </c>
    </row>
    <row r="59" spans="1:11" ht="12.75">
      <c r="A59" s="130">
        <f>Machinery!A59</f>
        <v>0</v>
      </c>
      <c r="B59" s="139">
        <f>Machinery!J59</f>
        <v>0</v>
      </c>
      <c r="C59" s="144">
        <f>Machinery!K59</f>
      </c>
      <c r="D59" s="139">
        <f>Machinery!G59</f>
        <v>0</v>
      </c>
      <c r="E59" s="131">
        <f>Machinery!I59</f>
        <v>0</v>
      </c>
      <c r="F59" s="139">
        <f>IF(B59&lt;&gt;0,((B59-C59)*Machinery!Q59)+('Fixed Costs'!C59*'Prices &amp; Rates'!$C$4/100),0)</f>
        <v>0</v>
      </c>
      <c r="G59" s="139">
        <f>IF(B59&lt;&gt;0,Machinery!L59/100*(B59+C59)/2,0)</f>
        <v>0</v>
      </c>
      <c r="H59" s="139">
        <f t="shared" si="0"/>
        <v>0</v>
      </c>
      <c r="I59" s="178">
        <f>Machinery!R59</f>
        <v>0</v>
      </c>
      <c r="J59" s="132">
        <f>IF(I59&lt;&gt;0,I59/100*G59/Budget!$H$6,0)</f>
        <v>0</v>
      </c>
      <c r="K59" s="133">
        <f>IF(I59&lt;&gt;0,I59/100*F59/Budget!$H$6,0)</f>
        <v>0</v>
      </c>
    </row>
    <row r="60" spans="1:11" ht="12.75">
      <c r="A60" s="130">
        <f>Machinery!A60</f>
        <v>0</v>
      </c>
      <c r="B60" s="139">
        <f>Machinery!J60</f>
        <v>0</v>
      </c>
      <c r="C60" s="144">
        <f>Machinery!K60</f>
      </c>
      <c r="D60" s="139">
        <f>Machinery!G60</f>
        <v>0</v>
      </c>
      <c r="E60" s="131">
        <f>Machinery!I60</f>
        <v>0</v>
      </c>
      <c r="F60" s="139">
        <f>IF(B60&lt;&gt;0,((B60-C60)*Machinery!Q60)+('Fixed Costs'!C60*'Prices &amp; Rates'!$C$4/100),0)</f>
        <v>0</v>
      </c>
      <c r="G60" s="139">
        <f>IF(B60&lt;&gt;0,Machinery!L60/100*(B60+C60)/2,0)</f>
        <v>0</v>
      </c>
      <c r="H60" s="139">
        <f t="shared" si="0"/>
        <v>0</v>
      </c>
      <c r="I60" s="178">
        <f>Machinery!R60</f>
        <v>0</v>
      </c>
      <c r="J60" s="132">
        <f>IF(I60&lt;&gt;0,I60/100*G60/Budget!$H$6,0)</f>
        <v>0</v>
      </c>
      <c r="K60" s="133">
        <f>IF(I60&lt;&gt;0,I60/100*F60/Budget!$H$6,0)</f>
        <v>0</v>
      </c>
    </row>
    <row r="61" spans="1:11" ht="12.75">
      <c r="A61" s="130">
        <f>Machinery!A61</f>
        <v>0</v>
      </c>
      <c r="B61" s="139">
        <f>Machinery!J61</f>
        <v>0</v>
      </c>
      <c r="C61" s="144">
        <f>Machinery!K61</f>
      </c>
      <c r="D61" s="139">
        <f>Machinery!G61</f>
        <v>0</v>
      </c>
      <c r="E61" s="131">
        <f>Machinery!I61</f>
        <v>0</v>
      </c>
      <c r="F61" s="139">
        <f>IF(B61&lt;&gt;0,((B61-C61)*Machinery!Q61)+('Fixed Costs'!C61*'Prices &amp; Rates'!$C$4/100),0)</f>
        <v>0</v>
      </c>
      <c r="G61" s="139">
        <f>IF(B61&lt;&gt;0,Machinery!L61/100*(B61+C61)/2,0)</f>
        <v>0</v>
      </c>
      <c r="H61" s="139">
        <f t="shared" si="0"/>
        <v>0</v>
      </c>
      <c r="I61" s="178">
        <f>Machinery!R61</f>
        <v>0</v>
      </c>
      <c r="J61" s="132">
        <f>IF(I61&lt;&gt;0,I61/100*G61/Budget!$H$6,0)</f>
        <v>0</v>
      </c>
      <c r="K61" s="133">
        <f>IF(I61&lt;&gt;0,I61/100*F61/Budget!$H$6,0)</f>
        <v>0</v>
      </c>
    </row>
    <row r="62" spans="1:11" ht="12.75">
      <c r="A62" s="130">
        <f>Machinery!A62</f>
        <v>0</v>
      </c>
      <c r="B62" s="139">
        <f>Machinery!J62</f>
        <v>0</v>
      </c>
      <c r="C62" s="144">
        <f>Machinery!K62</f>
      </c>
      <c r="D62" s="139">
        <f>Machinery!G62</f>
        <v>0</v>
      </c>
      <c r="E62" s="131">
        <f>Machinery!I62</f>
        <v>0</v>
      </c>
      <c r="F62" s="139">
        <f>IF(B62&lt;&gt;0,((B62-C62)*Machinery!Q62)+('Fixed Costs'!C62*'Prices &amp; Rates'!$C$4/100),0)</f>
        <v>0</v>
      </c>
      <c r="G62" s="139">
        <f>IF(B62&lt;&gt;0,Machinery!L62/100*(B62+C62)/2,0)</f>
        <v>0</v>
      </c>
      <c r="H62" s="139">
        <f t="shared" si="0"/>
        <v>0</v>
      </c>
      <c r="I62" s="178">
        <f>Machinery!R62</f>
        <v>0</v>
      </c>
      <c r="J62" s="132">
        <f>IF(I62&lt;&gt;0,I62/100*G62/Budget!$H$6,0)</f>
        <v>0</v>
      </c>
      <c r="K62" s="133">
        <f>IF(I62&lt;&gt;0,I62/100*F62/Budget!$H$6,0)</f>
        <v>0</v>
      </c>
    </row>
    <row r="63" spans="1:11" ht="12.75">
      <c r="A63" s="130">
        <f>Machinery!A63</f>
        <v>0</v>
      </c>
      <c r="B63" s="139">
        <f>Machinery!J63</f>
        <v>0</v>
      </c>
      <c r="C63" s="144">
        <f>Machinery!K63</f>
      </c>
      <c r="D63" s="139">
        <f>Machinery!G63</f>
        <v>0</v>
      </c>
      <c r="E63" s="131">
        <f>Machinery!I63</f>
        <v>0</v>
      </c>
      <c r="F63" s="139">
        <f>IF(B63&lt;&gt;0,((B63-C63)*Machinery!Q63)+('Fixed Costs'!C63*'Prices &amp; Rates'!$C$4/100),0)</f>
        <v>0</v>
      </c>
      <c r="G63" s="139">
        <f>IF(B63&lt;&gt;0,Machinery!L63/100*(B63+C63)/2,0)</f>
        <v>0</v>
      </c>
      <c r="H63" s="139">
        <f t="shared" si="0"/>
        <v>0</v>
      </c>
      <c r="I63" s="178">
        <f>Machinery!R63</f>
        <v>0</v>
      </c>
      <c r="J63" s="132">
        <f>IF(I63&lt;&gt;0,I63/100*G63/Budget!$H$6,0)</f>
        <v>0</v>
      </c>
      <c r="K63" s="133">
        <f>IF(I63&lt;&gt;0,I63/100*F63/Budget!$H$6,0)</f>
        <v>0</v>
      </c>
    </row>
    <row r="64" spans="1:11" ht="12.75">
      <c r="A64" s="130">
        <f>Machinery!A64</f>
        <v>0</v>
      </c>
      <c r="B64" s="139">
        <f>Machinery!J64</f>
        <v>0</v>
      </c>
      <c r="C64" s="144">
        <f>Machinery!K64</f>
      </c>
      <c r="D64" s="139">
        <f>Machinery!G64</f>
        <v>0</v>
      </c>
      <c r="E64" s="131">
        <f>Machinery!I64</f>
        <v>0</v>
      </c>
      <c r="F64" s="139">
        <f>IF(B64&lt;&gt;0,((B64-C64)*Machinery!Q64)+('Fixed Costs'!C64*'Prices &amp; Rates'!$C$4/100),0)</f>
        <v>0</v>
      </c>
      <c r="G64" s="139">
        <f>IF(B64&lt;&gt;0,Machinery!L64/100*(B64+C64)/2,0)</f>
        <v>0</v>
      </c>
      <c r="H64" s="139">
        <f t="shared" si="0"/>
        <v>0</v>
      </c>
      <c r="I64" s="178">
        <f>Machinery!R64</f>
        <v>0</v>
      </c>
      <c r="J64" s="132">
        <f>IF(I64&lt;&gt;0,I64/100*G64/Budget!$H$6,0)</f>
        <v>0</v>
      </c>
      <c r="K64" s="133">
        <f>IF(I64&lt;&gt;0,I64/100*F64/Budget!$H$6,0)</f>
        <v>0</v>
      </c>
    </row>
    <row r="65" spans="1:11" ht="12.75">
      <c r="A65" s="130">
        <f>Machinery!A65</f>
        <v>0</v>
      </c>
      <c r="B65" s="139">
        <f>Machinery!J65</f>
        <v>0</v>
      </c>
      <c r="C65" s="144">
        <f>Machinery!K65</f>
      </c>
      <c r="D65" s="139">
        <f>Machinery!G65</f>
        <v>0</v>
      </c>
      <c r="E65" s="131">
        <f>Machinery!I65</f>
        <v>0</v>
      </c>
      <c r="F65" s="139">
        <f>IF(B65&lt;&gt;0,((B65-C65)*Machinery!Q65)+('Fixed Costs'!C65*'Prices &amp; Rates'!$C$4/100),0)</f>
        <v>0</v>
      </c>
      <c r="G65" s="139">
        <f>IF(B65&lt;&gt;0,Machinery!L65/100*(B65+C65)/2,0)</f>
        <v>0</v>
      </c>
      <c r="H65" s="139">
        <f t="shared" si="0"/>
        <v>0</v>
      </c>
      <c r="I65" s="178">
        <f>Machinery!R65</f>
        <v>0</v>
      </c>
      <c r="J65" s="132">
        <f>IF(I65&lt;&gt;0,I65/100*G65/Budget!$H$6,0)</f>
        <v>0</v>
      </c>
      <c r="K65" s="133">
        <f>IF(I65&lt;&gt;0,I65/100*F65/Budget!$H$6,0)</f>
        <v>0</v>
      </c>
    </row>
    <row r="66" spans="1:11" ht="12.75">
      <c r="A66" s="130">
        <f>Machinery!A66</f>
        <v>0</v>
      </c>
      <c r="B66" s="139">
        <f>Machinery!J66</f>
        <v>0</v>
      </c>
      <c r="C66" s="144">
        <f>Machinery!K66</f>
      </c>
      <c r="D66" s="139">
        <f>Machinery!G66</f>
        <v>0</v>
      </c>
      <c r="E66" s="131">
        <f>Machinery!I66</f>
        <v>0</v>
      </c>
      <c r="F66" s="139">
        <f>IF(B66&lt;&gt;0,((B66-C66)*Machinery!Q66)+('Fixed Costs'!C66*'Prices &amp; Rates'!$C$4/100),0)</f>
        <v>0</v>
      </c>
      <c r="G66" s="139">
        <f>IF(B66&lt;&gt;0,Machinery!L66/100*(B66+C66)/2,0)</f>
        <v>0</v>
      </c>
      <c r="H66" s="139">
        <f t="shared" si="0"/>
        <v>0</v>
      </c>
      <c r="I66" s="178">
        <f>Machinery!R66</f>
        <v>0</v>
      </c>
      <c r="J66" s="132">
        <f>IF(I66&lt;&gt;0,I66/100*G66/Budget!$H$6,0)</f>
        <v>0</v>
      </c>
      <c r="K66" s="133">
        <f>IF(I66&lt;&gt;0,I66/100*F66/Budget!$H$6,0)</f>
        <v>0</v>
      </c>
    </row>
    <row r="67" spans="1:11" ht="12.75">
      <c r="A67" s="130">
        <f>Machinery!A67</f>
        <v>0</v>
      </c>
      <c r="B67" s="139">
        <f>Machinery!J67</f>
        <v>0</v>
      </c>
      <c r="C67" s="144">
        <f>Machinery!K67</f>
      </c>
      <c r="D67" s="139">
        <f>Machinery!G67</f>
        <v>0</v>
      </c>
      <c r="E67" s="131">
        <f>Machinery!I67</f>
        <v>0</v>
      </c>
      <c r="F67" s="139">
        <f>IF(B67&lt;&gt;0,((B67-C67)*Machinery!Q67)+('Fixed Costs'!C67*'Prices &amp; Rates'!$C$4/100),0)</f>
        <v>0</v>
      </c>
      <c r="G67" s="139">
        <f>IF(B67&lt;&gt;0,Machinery!L67/100*(B67+C67)/2,0)</f>
        <v>0</v>
      </c>
      <c r="H67" s="139">
        <f t="shared" si="0"/>
        <v>0</v>
      </c>
      <c r="I67" s="178">
        <f>Machinery!R67</f>
        <v>0</v>
      </c>
      <c r="J67" s="132">
        <f>IF(I67&lt;&gt;0,I67/100*G67/Budget!$H$6,0)</f>
        <v>0</v>
      </c>
      <c r="K67" s="133">
        <f>IF(I67&lt;&gt;0,I67/100*F67/Budget!$H$6,0)</f>
        <v>0</v>
      </c>
    </row>
    <row r="68" spans="1:11" ht="12.75">
      <c r="A68" s="130">
        <f>Machinery!A68</f>
        <v>0</v>
      </c>
      <c r="B68" s="139">
        <f>Machinery!J68</f>
        <v>0</v>
      </c>
      <c r="C68" s="144">
        <f>Machinery!K68</f>
      </c>
      <c r="D68" s="139">
        <f>Machinery!G68</f>
        <v>0</v>
      </c>
      <c r="E68" s="131">
        <f>Machinery!I68</f>
        <v>0</v>
      </c>
      <c r="F68" s="139">
        <f>IF(B68&lt;&gt;0,((B68-C68)*Machinery!Q68)+('Fixed Costs'!C68*'Prices &amp; Rates'!$C$4/100),0)</f>
        <v>0</v>
      </c>
      <c r="G68" s="139">
        <f>IF(B68&lt;&gt;0,Machinery!L68/100*(B68+C68)/2,0)</f>
        <v>0</v>
      </c>
      <c r="H68" s="139">
        <f t="shared" si="0"/>
        <v>0</v>
      </c>
      <c r="I68" s="178">
        <f>Machinery!R68</f>
        <v>0</v>
      </c>
      <c r="J68" s="132">
        <f>IF(I68&lt;&gt;0,I68/100*G68/Budget!$H$6,0)</f>
        <v>0</v>
      </c>
      <c r="K68" s="133">
        <f>IF(I68&lt;&gt;0,I68/100*F68/Budget!$H$6,0)</f>
        <v>0</v>
      </c>
    </row>
    <row r="69" spans="1:11" ht="12.75">
      <c r="A69" s="130">
        <f>Machinery!A69</f>
        <v>0</v>
      </c>
      <c r="B69" s="139">
        <f>Machinery!J69</f>
        <v>0</v>
      </c>
      <c r="C69" s="144">
        <f>Machinery!K69</f>
      </c>
      <c r="D69" s="139">
        <f>Machinery!G69</f>
        <v>0</v>
      </c>
      <c r="E69" s="131">
        <f>Machinery!I69</f>
        <v>0</v>
      </c>
      <c r="F69" s="139">
        <f>IF(B69&lt;&gt;0,((B69-C69)*Machinery!Q69)+('Fixed Costs'!C69*'Prices &amp; Rates'!$C$4/100),0)</f>
        <v>0</v>
      </c>
      <c r="G69" s="139">
        <f>IF(B69&lt;&gt;0,Machinery!L69/100*(B69+C69)/2,0)</f>
        <v>0</v>
      </c>
      <c r="H69" s="139">
        <f t="shared" si="0"/>
        <v>0</v>
      </c>
      <c r="I69" s="178">
        <f>Machinery!R69</f>
        <v>0</v>
      </c>
      <c r="J69" s="132">
        <f>IF(I69&lt;&gt;0,I69/100*G69/Budget!$H$6,0)</f>
        <v>0</v>
      </c>
      <c r="K69" s="133">
        <f>IF(I69&lt;&gt;0,I69/100*F69/Budget!$H$6,0)</f>
        <v>0</v>
      </c>
    </row>
    <row r="70" spans="1:11" ht="12.75">
      <c r="A70" s="130">
        <f>Machinery!A70</f>
        <v>0</v>
      </c>
      <c r="B70" s="139">
        <f>Machinery!J70</f>
        <v>0</v>
      </c>
      <c r="C70" s="144">
        <f>Machinery!K70</f>
      </c>
      <c r="D70" s="139">
        <f>Machinery!G70</f>
        <v>0</v>
      </c>
      <c r="E70" s="131">
        <f>Machinery!I70</f>
        <v>0</v>
      </c>
      <c r="F70" s="139">
        <f>IF(B70&lt;&gt;0,((B70-C70)*Machinery!Q70)+('Fixed Costs'!C70*'Prices &amp; Rates'!$C$4/100),0)</f>
        <v>0</v>
      </c>
      <c r="G70" s="139">
        <f>IF(B70&lt;&gt;0,Machinery!L70/100*(B70+C70)/2,0)</f>
        <v>0</v>
      </c>
      <c r="H70" s="139">
        <f aca="true" t="shared" si="1" ref="H70:H102">F70+G70</f>
        <v>0</v>
      </c>
      <c r="I70" s="178">
        <f>Machinery!R70</f>
        <v>0</v>
      </c>
      <c r="J70" s="132">
        <f>IF(I70&lt;&gt;0,I70/100*G70/Budget!$H$6,0)</f>
        <v>0</v>
      </c>
      <c r="K70" s="133">
        <f>IF(I70&lt;&gt;0,I70/100*F70/Budget!$H$6,0)</f>
        <v>0</v>
      </c>
    </row>
    <row r="71" spans="1:11" ht="12.75">
      <c r="A71" s="130">
        <f>Machinery!A71</f>
        <v>0</v>
      </c>
      <c r="B71" s="139">
        <f>Machinery!J71</f>
        <v>0</v>
      </c>
      <c r="C71" s="144">
        <f>Machinery!K71</f>
      </c>
      <c r="D71" s="139">
        <f>Machinery!G71</f>
        <v>0</v>
      </c>
      <c r="E71" s="131">
        <f>Machinery!I71</f>
        <v>0</v>
      </c>
      <c r="F71" s="139">
        <f>IF(B71&lt;&gt;0,((B71-C71)*Machinery!Q71)+('Fixed Costs'!C71*'Prices &amp; Rates'!$C$4/100),0)</f>
        <v>0</v>
      </c>
      <c r="G71" s="139">
        <f>IF(B71&lt;&gt;0,Machinery!L71/100*(B71+C71)/2,0)</f>
        <v>0</v>
      </c>
      <c r="H71" s="139">
        <f t="shared" si="1"/>
        <v>0</v>
      </c>
      <c r="I71" s="178">
        <f>Machinery!R71</f>
        <v>0</v>
      </c>
      <c r="J71" s="132">
        <f>IF(I71&lt;&gt;0,I71/100*G71/Budget!$H$6,0)</f>
        <v>0</v>
      </c>
      <c r="K71" s="133">
        <f>IF(I71&lt;&gt;0,I71/100*F71/Budget!$H$6,0)</f>
        <v>0</v>
      </c>
    </row>
    <row r="72" spans="1:11" ht="12.75">
      <c r="A72" s="130">
        <f>Machinery!A72</f>
        <v>0</v>
      </c>
      <c r="B72" s="139">
        <f>Machinery!J72</f>
        <v>0</v>
      </c>
      <c r="C72" s="144">
        <f>Machinery!K72</f>
      </c>
      <c r="D72" s="139">
        <f>Machinery!G72</f>
        <v>0</v>
      </c>
      <c r="E72" s="131">
        <f>Machinery!I72</f>
        <v>0</v>
      </c>
      <c r="F72" s="139">
        <f>IF(B72&lt;&gt;0,((B72-C72)*Machinery!Q72)+('Fixed Costs'!C72*'Prices &amp; Rates'!$C$4/100),0)</f>
        <v>0</v>
      </c>
      <c r="G72" s="139">
        <f>IF(B72&lt;&gt;0,Machinery!L72/100*(B72+C72)/2,0)</f>
        <v>0</v>
      </c>
      <c r="H72" s="139">
        <f t="shared" si="1"/>
        <v>0</v>
      </c>
      <c r="I72" s="178">
        <f>Machinery!R72</f>
        <v>0</v>
      </c>
      <c r="J72" s="132">
        <f>IF(I72&lt;&gt;0,I72/100*G72/Budget!$H$6,0)</f>
        <v>0</v>
      </c>
      <c r="K72" s="133">
        <f>IF(I72&lt;&gt;0,I72/100*F72/Budget!$H$6,0)</f>
        <v>0</v>
      </c>
    </row>
    <row r="73" spans="1:11" ht="12.75">
      <c r="A73" s="130">
        <f>Machinery!A73</f>
        <v>0</v>
      </c>
      <c r="B73" s="139">
        <f>Machinery!J73</f>
        <v>0</v>
      </c>
      <c r="C73" s="144">
        <f>Machinery!K73</f>
      </c>
      <c r="D73" s="139">
        <f>Machinery!G73</f>
        <v>0</v>
      </c>
      <c r="E73" s="131">
        <f>Machinery!I73</f>
        <v>0</v>
      </c>
      <c r="F73" s="139">
        <f>IF(B73&lt;&gt;0,((B73-C73)*Machinery!Q73)+('Fixed Costs'!C73*'Prices &amp; Rates'!$C$4/100),0)</f>
        <v>0</v>
      </c>
      <c r="G73" s="139">
        <f>IF(B73&lt;&gt;0,Machinery!L73/100*(B73+C73)/2,0)</f>
        <v>0</v>
      </c>
      <c r="H73" s="139">
        <f t="shared" si="1"/>
        <v>0</v>
      </c>
      <c r="I73" s="178">
        <f>Machinery!R73</f>
        <v>0</v>
      </c>
      <c r="J73" s="132">
        <f>IF(I73&lt;&gt;0,I73/100*G73/Budget!$H$6,0)</f>
        <v>0</v>
      </c>
      <c r="K73" s="133">
        <f>IF(I73&lt;&gt;0,I73/100*F73/Budget!$H$6,0)</f>
        <v>0</v>
      </c>
    </row>
    <row r="74" spans="1:11" ht="12.75">
      <c r="A74" s="130">
        <f>Machinery!A74</f>
        <v>0</v>
      </c>
      <c r="B74" s="139">
        <f>Machinery!J74</f>
        <v>0</v>
      </c>
      <c r="C74" s="144">
        <f>Machinery!K74</f>
      </c>
      <c r="D74" s="139">
        <f>Machinery!G74</f>
        <v>0</v>
      </c>
      <c r="E74" s="131">
        <f>Machinery!I74</f>
        <v>0</v>
      </c>
      <c r="F74" s="139">
        <f>IF(B74&lt;&gt;0,((B74-C74)*Machinery!Q74)+('Fixed Costs'!C74*'Prices &amp; Rates'!$C$4/100),0)</f>
        <v>0</v>
      </c>
      <c r="G74" s="139">
        <f>IF(B74&lt;&gt;0,Machinery!L74/100*(B74+C74)/2,0)</f>
        <v>0</v>
      </c>
      <c r="H74" s="139">
        <f t="shared" si="1"/>
        <v>0</v>
      </c>
      <c r="I74" s="178">
        <f>Machinery!R74</f>
        <v>0</v>
      </c>
      <c r="J74" s="132">
        <f>IF(I74&lt;&gt;0,I74/100*G74/Budget!$H$6,0)</f>
        <v>0</v>
      </c>
      <c r="K74" s="133">
        <f>IF(I74&lt;&gt;0,I74/100*F74/Budget!$H$6,0)</f>
        <v>0</v>
      </c>
    </row>
    <row r="75" spans="1:11" ht="12.75">
      <c r="A75" s="130">
        <f>Machinery!A75</f>
        <v>0</v>
      </c>
      <c r="B75" s="139">
        <f>Machinery!J75</f>
        <v>0</v>
      </c>
      <c r="C75" s="144">
        <f>Machinery!K75</f>
      </c>
      <c r="D75" s="139">
        <f>Machinery!G75</f>
        <v>0</v>
      </c>
      <c r="E75" s="131">
        <f>Machinery!I75</f>
        <v>0</v>
      </c>
      <c r="F75" s="139">
        <f>IF(B75&lt;&gt;0,((B75-C75)*Machinery!Q75)+('Fixed Costs'!C75*'Prices &amp; Rates'!$C$4/100),0)</f>
        <v>0</v>
      </c>
      <c r="G75" s="139">
        <f>IF(B75&lt;&gt;0,Machinery!L75/100*(B75+C75)/2,0)</f>
        <v>0</v>
      </c>
      <c r="H75" s="139">
        <f t="shared" si="1"/>
        <v>0</v>
      </c>
      <c r="I75" s="178">
        <f>Machinery!R75</f>
        <v>0</v>
      </c>
      <c r="J75" s="132">
        <f>IF(I75&lt;&gt;0,I75/100*G75/Budget!$H$6,0)</f>
        <v>0</v>
      </c>
      <c r="K75" s="133">
        <f>IF(I75&lt;&gt;0,I75/100*F75/Budget!$H$6,0)</f>
        <v>0</v>
      </c>
    </row>
    <row r="76" spans="1:11" ht="12.75">
      <c r="A76" s="130">
        <f>Machinery!A76</f>
        <v>0</v>
      </c>
      <c r="B76" s="139">
        <f>Machinery!J76</f>
        <v>0</v>
      </c>
      <c r="C76" s="144">
        <f>Machinery!K76</f>
      </c>
      <c r="D76" s="139">
        <f>Machinery!G76</f>
        <v>0</v>
      </c>
      <c r="E76" s="131">
        <f>Machinery!I76</f>
        <v>0</v>
      </c>
      <c r="F76" s="139">
        <f>IF(B76&lt;&gt;0,((B76-C76)*Machinery!Q76)+('Fixed Costs'!C76*'Prices &amp; Rates'!$C$4/100),0)</f>
        <v>0</v>
      </c>
      <c r="G76" s="139">
        <f>IF(B76&lt;&gt;0,Machinery!L76/100*(B76+C76)/2,0)</f>
        <v>0</v>
      </c>
      <c r="H76" s="139">
        <f t="shared" si="1"/>
        <v>0</v>
      </c>
      <c r="I76" s="178">
        <f>Machinery!R76</f>
        <v>0</v>
      </c>
      <c r="J76" s="132">
        <f>IF(I76&lt;&gt;0,I76/100*G76/Budget!$H$6,0)</f>
        <v>0</v>
      </c>
      <c r="K76" s="133">
        <f>IF(I76&lt;&gt;0,I76/100*F76/Budget!$H$6,0)</f>
        <v>0</v>
      </c>
    </row>
    <row r="77" spans="1:11" ht="12.75">
      <c r="A77" s="130">
        <f>Machinery!A77</f>
        <v>0</v>
      </c>
      <c r="B77" s="139">
        <f>Machinery!J77</f>
        <v>0</v>
      </c>
      <c r="C77" s="144">
        <f>Machinery!K77</f>
      </c>
      <c r="D77" s="139">
        <f>Machinery!G77</f>
        <v>0</v>
      </c>
      <c r="E77" s="131">
        <f>Machinery!I77</f>
        <v>0</v>
      </c>
      <c r="F77" s="139">
        <f>IF(B77&lt;&gt;0,((B77-C77)*Machinery!Q77)+('Fixed Costs'!C77*'Prices &amp; Rates'!$C$4/100),0)</f>
        <v>0</v>
      </c>
      <c r="G77" s="139">
        <f>IF(B77&lt;&gt;0,Machinery!L77/100*(B77+C77)/2,0)</f>
        <v>0</v>
      </c>
      <c r="H77" s="139">
        <f t="shared" si="1"/>
        <v>0</v>
      </c>
      <c r="I77" s="178">
        <f>Machinery!R77</f>
        <v>0</v>
      </c>
      <c r="J77" s="132">
        <f>IF(I77&lt;&gt;0,I77/100*G77/Budget!$H$6,0)</f>
        <v>0</v>
      </c>
      <c r="K77" s="133">
        <f>IF(I77&lt;&gt;0,I77/100*F77/Budget!$H$6,0)</f>
        <v>0</v>
      </c>
    </row>
    <row r="78" spans="1:11" ht="12.75">
      <c r="A78" s="130">
        <f>Machinery!A78</f>
        <v>0</v>
      </c>
      <c r="B78" s="139">
        <f>Machinery!J78</f>
        <v>0</v>
      </c>
      <c r="C78" s="144">
        <f>Machinery!K78</f>
      </c>
      <c r="D78" s="139">
        <f>Machinery!G78</f>
        <v>0</v>
      </c>
      <c r="E78" s="131">
        <f>Machinery!I78</f>
        <v>0</v>
      </c>
      <c r="F78" s="139">
        <f>IF(B78&lt;&gt;0,((B78-C78)*Machinery!Q78)+('Fixed Costs'!C78*'Prices &amp; Rates'!$C$4/100),0)</f>
        <v>0</v>
      </c>
      <c r="G78" s="139">
        <f>IF(B78&lt;&gt;0,Machinery!L78/100*(B78+C78)/2,0)</f>
        <v>0</v>
      </c>
      <c r="H78" s="139">
        <f t="shared" si="1"/>
        <v>0</v>
      </c>
      <c r="I78" s="178">
        <f>Machinery!R78</f>
        <v>0</v>
      </c>
      <c r="J78" s="132">
        <f>IF(I78&lt;&gt;0,I78/100*G78/Budget!$H$6,0)</f>
        <v>0</v>
      </c>
      <c r="K78" s="133">
        <f>IF(I78&lt;&gt;0,I78/100*F78/Budget!$H$6,0)</f>
        <v>0</v>
      </c>
    </row>
    <row r="79" spans="1:11" ht="12.75">
      <c r="A79" s="130">
        <f>Machinery!A79</f>
        <v>0</v>
      </c>
      <c r="B79" s="139">
        <f>Machinery!J79</f>
        <v>0</v>
      </c>
      <c r="C79" s="144">
        <f>Machinery!K79</f>
      </c>
      <c r="D79" s="139">
        <f>Machinery!G79</f>
        <v>0</v>
      </c>
      <c r="E79" s="131">
        <f>Machinery!I79</f>
        <v>0</v>
      </c>
      <c r="F79" s="139">
        <f>IF(B79&lt;&gt;0,((B79-C79)*Machinery!Q79)+('Fixed Costs'!C79*'Prices &amp; Rates'!$C$4/100),0)</f>
        <v>0</v>
      </c>
      <c r="G79" s="139">
        <f>IF(B79&lt;&gt;0,Machinery!L79/100*(B79+C79)/2,0)</f>
        <v>0</v>
      </c>
      <c r="H79" s="139">
        <f t="shared" si="1"/>
        <v>0</v>
      </c>
      <c r="I79" s="178">
        <f>Machinery!R79</f>
        <v>0</v>
      </c>
      <c r="J79" s="132">
        <f>IF(I79&lt;&gt;0,I79/100*G79/Budget!$H$6,0)</f>
        <v>0</v>
      </c>
      <c r="K79" s="133">
        <f>IF(I79&lt;&gt;0,I79/100*F79/Budget!$H$6,0)</f>
        <v>0</v>
      </c>
    </row>
    <row r="80" spans="1:11" ht="12.75">
      <c r="A80" s="130">
        <f>Machinery!A80</f>
        <v>0</v>
      </c>
      <c r="B80" s="139">
        <f>Machinery!J80</f>
        <v>0</v>
      </c>
      <c r="C80" s="144">
        <f>Machinery!K80</f>
      </c>
      <c r="D80" s="139">
        <f>Machinery!G80</f>
        <v>0</v>
      </c>
      <c r="E80" s="131">
        <f>Machinery!I80</f>
        <v>0</v>
      </c>
      <c r="F80" s="139">
        <f>IF(B80&lt;&gt;0,((B80-C80)*Machinery!Q80)+('Fixed Costs'!C80*'Prices &amp; Rates'!$C$4/100),0)</f>
        <v>0</v>
      </c>
      <c r="G80" s="139">
        <f>IF(B80&lt;&gt;0,Machinery!L80/100*(B80+C80)/2,0)</f>
        <v>0</v>
      </c>
      <c r="H80" s="139">
        <f t="shared" si="1"/>
        <v>0</v>
      </c>
      <c r="I80" s="178">
        <f>Machinery!R80</f>
        <v>0</v>
      </c>
      <c r="J80" s="132">
        <f>IF(I80&lt;&gt;0,I80/100*G80/Budget!$H$6,0)</f>
        <v>0</v>
      </c>
      <c r="K80" s="133">
        <f>IF(I80&lt;&gt;0,I80/100*F80/Budget!$H$6,0)</f>
        <v>0</v>
      </c>
    </row>
    <row r="81" spans="1:11" ht="12.75">
      <c r="A81" s="130">
        <f>Machinery!A81</f>
        <v>0</v>
      </c>
      <c r="B81" s="139">
        <f>Machinery!J81</f>
        <v>0</v>
      </c>
      <c r="C81" s="144">
        <f>Machinery!K81</f>
      </c>
      <c r="D81" s="139">
        <f>Machinery!G81</f>
        <v>0</v>
      </c>
      <c r="E81" s="131">
        <f>Machinery!I81</f>
        <v>0</v>
      </c>
      <c r="F81" s="139">
        <f>IF(B81&lt;&gt;0,((B81-C81)*Machinery!Q81)+('Fixed Costs'!C81*'Prices &amp; Rates'!$C$4/100),0)</f>
        <v>0</v>
      </c>
      <c r="G81" s="139">
        <f>IF(B81&lt;&gt;0,Machinery!L81/100*(B81+C81)/2,0)</f>
        <v>0</v>
      </c>
      <c r="H81" s="139">
        <f t="shared" si="1"/>
        <v>0</v>
      </c>
      <c r="I81" s="178">
        <f>Machinery!R81</f>
        <v>0</v>
      </c>
      <c r="J81" s="132">
        <f>IF(I81&lt;&gt;0,I81/100*G81/Budget!$H$6,0)</f>
        <v>0</v>
      </c>
      <c r="K81" s="133">
        <f>IF(I81&lt;&gt;0,I81/100*F81/Budget!$H$6,0)</f>
        <v>0</v>
      </c>
    </row>
    <row r="82" spans="1:11" ht="12.75">
      <c r="A82" s="130">
        <f>Machinery!A82</f>
        <v>0</v>
      </c>
      <c r="B82" s="139">
        <f>Machinery!J82</f>
        <v>0</v>
      </c>
      <c r="C82" s="144">
        <f>Machinery!K82</f>
      </c>
      <c r="D82" s="139">
        <f>Machinery!G82</f>
        <v>0</v>
      </c>
      <c r="E82" s="131">
        <f>Machinery!I82</f>
        <v>0</v>
      </c>
      <c r="F82" s="139">
        <f>IF(B82&lt;&gt;0,((B82-C82)*Machinery!Q82)+('Fixed Costs'!C82*'Prices &amp; Rates'!$C$4/100),0)</f>
        <v>0</v>
      </c>
      <c r="G82" s="139">
        <f>IF(B82&lt;&gt;0,Machinery!L82/100*(B82+C82)/2,0)</f>
        <v>0</v>
      </c>
      <c r="H82" s="139">
        <f t="shared" si="1"/>
        <v>0</v>
      </c>
      <c r="I82" s="178">
        <f>Machinery!R82</f>
        <v>0</v>
      </c>
      <c r="J82" s="132">
        <f>IF(I82&lt;&gt;0,I82/100*G82/Budget!$H$6,0)</f>
        <v>0</v>
      </c>
      <c r="K82" s="133">
        <f>IF(I82&lt;&gt;0,I82/100*F82/Budget!$H$6,0)</f>
        <v>0</v>
      </c>
    </row>
    <row r="83" spans="1:11" ht="12.75">
      <c r="A83" s="130">
        <f>Machinery!A83</f>
        <v>0</v>
      </c>
      <c r="B83" s="139">
        <f>Machinery!J83</f>
        <v>0</v>
      </c>
      <c r="C83" s="144">
        <f>Machinery!K83</f>
      </c>
      <c r="D83" s="139">
        <f>Machinery!G83</f>
        <v>0</v>
      </c>
      <c r="E83" s="131">
        <f>Machinery!I83</f>
        <v>0</v>
      </c>
      <c r="F83" s="139">
        <f>IF(B83&lt;&gt;0,((B83-C83)*Machinery!Q83)+('Fixed Costs'!C83*'Prices &amp; Rates'!$C$4/100),0)</f>
        <v>0</v>
      </c>
      <c r="G83" s="139">
        <f>IF(B83&lt;&gt;0,Machinery!L83/100*(B83+C83)/2,0)</f>
        <v>0</v>
      </c>
      <c r="H83" s="139">
        <f t="shared" si="1"/>
        <v>0</v>
      </c>
      <c r="I83" s="178">
        <f>Machinery!R83</f>
        <v>0</v>
      </c>
      <c r="J83" s="132">
        <f>IF(I83&lt;&gt;0,I83/100*G83/Budget!$H$6,0)</f>
        <v>0</v>
      </c>
      <c r="K83" s="133">
        <f>IF(I83&lt;&gt;0,I83/100*F83/Budget!$H$6,0)</f>
        <v>0</v>
      </c>
    </row>
    <row r="84" spans="1:11" ht="12.75">
      <c r="A84" s="130">
        <f>Machinery!A84</f>
        <v>0</v>
      </c>
      <c r="B84" s="139">
        <f>Machinery!J84</f>
        <v>0</v>
      </c>
      <c r="C84" s="144">
        <f>Machinery!K84</f>
      </c>
      <c r="D84" s="139">
        <f>Machinery!G84</f>
        <v>0</v>
      </c>
      <c r="E84" s="131">
        <f>Machinery!I84</f>
        <v>0</v>
      </c>
      <c r="F84" s="139">
        <f>IF(B84&lt;&gt;0,((B84-C84)*Machinery!Q84)+('Fixed Costs'!C84*'Prices &amp; Rates'!$C$4/100),0)</f>
        <v>0</v>
      </c>
      <c r="G84" s="139">
        <f>IF(B84&lt;&gt;0,Machinery!L84/100*(B84+C84)/2,0)</f>
        <v>0</v>
      </c>
      <c r="H84" s="139">
        <f t="shared" si="1"/>
        <v>0</v>
      </c>
      <c r="I84" s="178">
        <f>Machinery!R84</f>
        <v>0</v>
      </c>
      <c r="J84" s="132">
        <f>IF(I84&lt;&gt;0,I84/100*G84/Budget!$H$6,0)</f>
        <v>0</v>
      </c>
      <c r="K84" s="133">
        <f>IF(I84&lt;&gt;0,I84/100*F84/Budget!$H$6,0)</f>
        <v>0</v>
      </c>
    </row>
    <row r="85" spans="1:11" ht="12.75">
      <c r="A85" s="130">
        <f>Machinery!A85</f>
        <v>0</v>
      </c>
      <c r="B85" s="139">
        <f>Machinery!J85</f>
        <v>0</v>
      </c>
      <c r="C85" s="144">
        <f>Machinery!K85</f>
      </c>
      <c r="D85" s="139">
        <f>Machinery!G85</f>
        <v>0</v>
      </c>
      <c r="E85" s="131">
        <f>Machinery!I85</f>
        <v>0</v>
      </c>
      <c r="F85" s="139">
        <f>IF(B85&lt;&gt;0,((B85-C85)*Machinery!Q85)+('Fixed Costs'!C85*'Prices &amp; Rates'!$C$4/100),0)</f>
        <v>0</v>
      </c>
      <c r="G85" s="139">
        <f>IF(B85&lt;&gt;0,Machinery!L85/100*(B85+C85)/2,0)</f>
        <v>0</v>
      </c>
      <c r="H85" s="139">
        <f t="shared" si="1"/>
        <v>0</v>
      </c>
      <c r="I85" s="178">
        <f>Machinery!R85</f>
        <v>0</v>
      </c>
      <c r="J85" s="132">
        <f>IF(I85&lt;&gt;0,I85/100*G85/Budget!$H$6,0)</f>
        <v>0</v>
      </c>
      <c r="K85" s="133">
        <f>IF(I85&lt;&gt;0,I85/100*F85/Budget!$H$6,0)</f>
        <v>0</v>
      </c>
    </row>
    <row r="86" spans="1:11" ht="12.75">
      <c r="A86" s="130">
        <f>Machinery!A86</f>
        <v>0</v>
      </c>
      <c r="B86" s="139">
        <f>Machinery!J86</f>
        <v>0</v>
      </c>
      <c r="C86" s="144">
        <f>Machinery!K86</f>
      </c>
      <c r="D86" s="139">
        <f>Machinery!G86</f>
        <v>0</v>
      </c>
      <c r="E86" s="131">
        <f>Machinery!I86</f>
        <v>0</v>
      </c>
      <c r="F86" s="139">
        <f>IF(B86&lt;&gt;0,((B86-C86)*Machinery!Q86)+('Fixed Costs'!C86*'Prices &amp; Rates'!$C$4/100),0)</f>
        <v>0</v>
      </c>
      <c r="G86" s="139">
        <f>IF(B86&lt;&gt;0,Machinery!L86/100*(B86+C86)/2,0)</f>
        <v>0</v>
      </c>
      <c r="H86" s="139">
        <f t="shared" si="1"/>
        <v>0</v>
      </c>
      <c r="I86" s="178">
        <f>Machinery!R86</f>
        <v>0</v>
      </c>
      <c r="J86" s="132">
        <f>IF(I86&lt;&gt;0,I86/100*G86/Budget!$H$6,0)</f>
        <v>0</v>
      </c>
      <c r="K86" s="133">
        <f>IF(I86&lt;&gt;0,I86/100*F86/Budget!$H$6,0)</f>
        <v>0</v>
      </c>
    </row>
    <row r="87" spans="1:11" ht="12.75">
      <c r="A87" s="130">
        <f>Machinery!A87</f>
        <v>0</v>
      </c>
      <c r="B87" s="139">
        <f>Machinery!J87</f>
        <v>0</v>
      </c>
      <c r="C87" s="144">
        <f>Machinery!K87</f>
      </c>
      <c r="D87" s="139">
        <f>Machinery!G87</f>
        <v>0</v>
      </c>
      <c r="E87" s="131">
        <f>Machinery!I87</f>
        <v>0</v>
      </c>
      <c r="F87" s="139">
        <f>IF(B87&lt;&gt;0,((B87-C87)*Machinery!Q87)+('Fixed Costs'!C87*'Prices &amp; Rates'!$C$4/100),0)</f>
        <v>0</v>
      </c>
      <c r="G87" s="139">
        <f>IF(B87&lt;&gt;0,Machinery!L87/100*(B87+C87)/2,0)</f>
        <v>0</v>
      </c>
      <c r="H87" s="139">
        <f t="shared" si="1"/>
        <v>0</v>
      </c>
      <c r="I87" s="178">
        <f>Machinery!R87</f>
        <v>0</v>
      </c>
      <c r="J87" s="132">
        <f>IF(I87&lt;&gt;0,I87/100*G87/Budget!$H$6,0)</f>
        <v>0</v>
      </c>
      <c r="K87" s="133">
        <f>IF(I87&lt;&gt;0,I87/100*F87/Budget!$H$6,0)</f>
        <v>0</v>
      </c>
    </row>
    <row r="88" spans="1:11" ht="12.75">
      <c r="A88" s="130">
        <f>Machinery!A88</f>
        <v>0</v>
      </c>
      <c r="B88" s="139">
        <f>Machinery!J88</f>
        <v>0</v>
      </c>
      <c r="C88" s="144">
        <f>Machinery!K88</f>
      </c>
      <c r="D88" s="139">
        <f>Machinery!G88</f>
        <v>0</v>
      </c>
      <c r="E88" s="131">
        <f>Machinery!I88</f>
        <v>0</v>
      </c>
      <c r="F88" s="139">
        <f>IF(B88&lt;&gt;0,((B88-C88)*Machinery!Q88)+('Fixed Costs'!C88*'Prices &amp; Rates'!$C$4/100),0)</f>
        <v>0</v>
      </c>
      <c r="G88" s="139">
        <f>IF(B88&lt;&gt;0,Machinery!L88/100*(B88+C88)/2,0)</f>
        <v>0</v>
      </c>
      <c r="H88" s="139">
        <f t="shared" si="1"/>
        <v>0</v>
      </c>
      <c r="I88" s="178">
        <f>Machinery!R88</f>
        <v>0</v>
      </c>
      <c r="J88" s="132">
        <f>IF(I88&lt;&gt;0,I88/100*G88/Budget!$H$6,0)</f>
        <v>0</v>
      </c>
      <c r="K88" s="133">
        <f>IF(I88&lt;&gt;0,I88/100*F88/Budget!$H$6,0)</f>
        <v>0</v>
      </c>
    </row>
    <row r="89" spans="1:11" ht="12.75">
      <c r="A89" s="130">
        <f>Machinery!A89</f>
        <v>0</v>
      </c>
      <c r="B89" s="139">
        <f>Machinery!J89</f>
        <v>0</v>
      </c>
      <c r="C89" s="144">
        <f>Machinery!K89</f>
      </c>
      <c r="D89" s="139">
        <f>Machinery!G89</f>
        <v>0</v>
      </c>
      <c r="E89" s="131">
        <f>Machinery!I89</f>
        <v>0</v>
      </c>
      <c r="F89" s="139">
        <f>IF(B89&lt;&gt;0,((B89-C89)*Machinery!Q89)+('Fixed Costs'!C89*'Prices &amp; Rates'!$C$4/100),0)</f>
        <v>0</v>
      </c>
      <c r="G89" s="139">
        <f>IF(B89&lt;&gt;0,Machinery!L89/100*(B89+C89)/2,0)</f>
        <v>0</v>
      </c>
      <c r="H89" s="139">
        <f t="shared" si="1"/>
        <v>0</v>
      </c>
      <c r="I89" s="178">
        <f>Machinery!R89</f>
        <v>0</v>
      </c>
      <c r="J89" s="132">
        <f>IF(I89&lt;&gt;0,I89/100*G89/Budget!$H$6,0)</f>
        <v>0</v>
      </c>
      <c r="K89" s="133">
        <f>IF(I89&lt;&gt;0,I89/100*F89/Budget!$H$6,0)</f>
        <v>0</v>
      </c>
    </row>
    <row r="90" spans="1:11" ht="12.75">
      <c r="A90" s="130">
        <f>Machinery!A90</f>
        <v>0</v>
      </c>
      <c r="B90" s="139">
        <f>Machinery!J90</f>
        <v>0</v>
      </c>
      <c r="C90" s="144">
        <f>Machinery!K90</f>
      </c>
      <c r="D90" s="139">
        <f>Machinery!G90</f>
        <v>0</v>
      </c>
      <c r="E90" s="131">
        <f>Machinery!I90</f>
        <v>0</v>
      </c>
      <c r="F90" s="139">
        <f>IF(B90&lt;&gt;0,((B90-C90)*Machinery!Q90)+('Fixed Costs'!C90*'Prices &amp; Rates'!$C$4/100),0)</f>
        <v>0</v>
      </c>
      <c r="G90" s="139">
        <f>IF(B90&lt;&gt;0,Machinery!L90/100*(B90+C90)/2,0)</f>
        <v>0</v>
      </c>
      <c r="H90" s="139">
        <f t="shared" si="1"/>
        <v>0</v>
      </c>
      <c r="I90" s="178">
        <f>Machinery!R90</f>
        <v>0</v>
      </c>
      <c r="J90" s="132">
        <f>IF(I90&lt;&gt;0,I90/100*G90/Budget!$H$6,0)</f>
        <v>0</v>
      </c>
      <c r="K90" s="133">
        <f>IF(I90&lt;&gt;0,I90/100*F90/Budget!$H$6,0)</f>
        <v>0</v>
      </c>
    </row>
    <row r="91" spans="1:11" ht="12.75">
      <c r="A91" s="130">
        <f>Machinery!A91</f>
        <v>0</v>
      </c>
      <c r="B91" s="139">
        <f>Machinery!J91</f>
        <v>0</v>
      </c>
      <c r="C91" s="144">
        <f>Machinery!K91</f>
      </c>
      <c r="D91" s="139">
        <f>Machinery!G91</f>
        <v>0</v>
      </c>
      <c r="E91" s="131">
        <f>Machinery!I91</f>
        <v>0</v>
      </c>
      <c r="F91" s="139">
        <f>IF(B91&lt;&gt;0,((B91-C91)*Machinery!Q91)+('Fixed Costs'!C91*'Prices &amp; Rates'!$C$4/100),0)</f>
        <v>0</v>
      </c>
      <c r="G91" s="139">
        <f>IF(B91&lt;&gt;0,Machinery!L91/100*(B91+C91)/2,0)</f>
        <v>0</v>
      </c>
      <c r="H91" s="139">
        <f t="shared" si="1"/>
        <v>0</v>
      </c>
      <c r="I91" s="178">
        <f>Machinery!R91</f>
        <v>0</v>
      </c>
      <c r="J91" s="132">
        <f>IF(I91&lt;&gt;0,I91/100*G91/Budget!$H$6,0)</f>
        <v>0</v>
      </c>
      <c r="K91" s="133">
        <f>IF(I91&lt;&gt;0,I91/100*F91/Budget!$H$6,0)</f>
        <v>0</v>
      </c>
    </row>
    <row r="92" spans="1:11" ht="12.75">
      <c r="A92" s="130">
        <f>Machinery!A92</f>
        <v>0</v>
      </c>
      <c r="B92" s="139">
        <f>Machinery!J92</f>
        <v>0</v>
      </c>
      <c r="C92" s="144">
        <f>Machinery!K92</f>
      </c>
      <c r="D92" s="139">
        <f>Machinery!G92</f>
        <v>0</v>
      </c>
      <c r="E92" s="131">
        <f>Machinery!I92</f>
        <v>0</v>
      </c>
      <c r="F92" s="139">
        <f>IF(B92&lt;&gt;0,((B92-C92)*Machinery!Q92)+('Fixed Costs'!C92*'Prices &amp; Rates'!$C$4/100),0)</f>
        <v>0</v>
      </c>
      <c r="G92" s="139">
        <f>IF(B92&lt;&gt;0,Machinery!L92/100*(B92+C92)/2,0)</f>
        <v>0</v>
      </c>
      <c r="H92" s="139">
        <f t="shared" si="1"/>
        <v>0</v>
      </c>
      <c r="I92" s="178">
        <f>Machinery!R92</f>
        <v>0</v>
      </c>
      <c r="J92" s="132">
        <f>IF(I92&lt;&gt;0,I92/100*G92/Budget!$H$6,0)</f>
        <v>0</v>
      </c>
      <c r="K92" s="133">
        <f>IF(I92&lt;&gt;0,I92/100*F92/Budget!$H$6,0)</f>
        <v>0</v>
      </c>
    </row>
    <row r="93" spans="1:11" ht="12.75">
      <c r="A93" s="130">
        <f>Machinery!A93</f>
        <v>0</v>
      </c>
      <c r="B93" s="139">
        <f>Machinery!J93</f>
        <v>0</v>
      </c>
      <c r="C93" s="144">
        <f>Machinery!K93</f>
      </c>
      <c r="D93" s="139">
        <f>Machinery!G93</f>
        <v>0</v>
      </c>
      <c r="E93" s="131">
        <f>Machinery!I93</f>
        <v>0</v>
      </c>
      <c r="F93" s="139">
        <f>IF(B93&lt;&gt;0,((B93-C93)*Machinery!Q93)+('Fixed Costs'!C93*'Prices &amp; Rates'!$C$4/100),0)</f>
        <v>0</v>
      </c>
      <c r="G93" s="139">
        <f>IF(B93&lt;&gt;0,Machinery!L93/100*(B93+C93)/2,0)</f>
        <v>0</v>
      </c>
      <c r="H93" s="139">
        <f t="shared" si="1"/>
        <v>0</v>
      </c>
      <c r="I93" s="178">
        <f>Machinery!R93</f>
        <v>0</v>
      </c>
      <c r="J93" s="132">
        <f>IF(I93&lt;&gt;0,I93/100*G93/Budget!$H$6,0)</f>
        <v>0</v>
      </c>
      <c r="K93" s="133">
        <f>IF(I93&lt;&gt;0,I93/100*F93/Budget!$H$6,0)</f>
        <v>0</v>
      </c>
    </row>
    <row r="94" spans="1:11" ht="12.75">
      <c r="A94" s="130">
        <f>Machinery!A94</f>
        <v>0</v>
      </c>
      <c r="B94" s="139">
        <f>Machinery!J94</f>
        <v>0</v>
      </c>
      <c r="C94" s="144">
        <f>Machinery!K94</f>
      </c>
      <c r="D94" s="139">
        <f>Machinery!G94</f>
        <v>0</v>
      </c>
      <c r="E94" s="131">
        <f>Machinery!I94</f>
        <v>0</v>
      </c>
      <c r="F94" s="139">
        <f>IF(B94&lt;&gt;0,((B94-C94)*Machinery!Q94)+('Fixed Costs'!C94*'Prices &amp; Rates'!$C$4/100),0)</f>
        <v>0</v>
      </c>
      <c r="G94" s="139">
        <f>IF(B94&lt;&gt;0,Machinery!L94/100*(B94+C94)/2,0)</f>
        <v>0</v>
      </c>
      <c r="H94" s="139">
        <f t="shared" si="1"/>
        <v>0</v>
      </c>
      <c r="I94" s="178">
        <f>Machinery!R94</f>
        <v>0</v>
      </c>
      <c r="J94" s="132">
        <f>IF(I94&lt;&gt;0,I94/100*G94/Budget!$H$6,0)</f>
        <v>0</v>
      </c>
      <c r="K94" s="133">
        <f>IF(I94&lt;&gt;0,I94/100*F94/Budget!$H$6,0)</f>
        <v>0</v>
      </c>
    </row>
    <row r="95" spans="1:11" ht="12.75">
      <c r="A95" s="130">
        <f>Machinery!A95</f>
        <v>0</v>
      </c>
      <c r="B95" s="139">
        <f>Machinery!J95</f>
        <v>0</v>
      </c>
      <c r="C95" s="144">
        <f>Machinery!K95</f>
      </c>
      <c r="D95" s="139">
        <f>Machinery!G95</f>
        <v>0</v>
      </c>
      <c r="E95" s="131">
        <f>Machinery!I95</f>
        <v>0</v>
      </c>
      <c r="F95" s="139">
        <f>IF(B95&lt;&gt;0,((B95-C95)*Machinery!Q95)+('Fixed Costs'!C95*'Prices &amp; Rates'!$C$4/100),0)</f>
        <v>0</v>
      </c>
      <c r="G95" s="139">
        <f>IF(B95&lt;&gt;0,Machinery!L95/100*(B95+C95)/2,0)</f>
        <v>0</v>
      </c>
      <c r="H95" s="139">
        <f t="shared" si="1"/>
        <v>0</v>
      </c>
      <c r="I95" s="178">
        <f>Machinery!R95</f>
        <v>0</v>
      </c>
      <c r="J95" s="132">
        <f>IF(I95&lt;&gt;0,I95/100*G95/Budget!$H$6,0)</f>
        <v>0</v>
      </c>
      <c r="K95" s="133">
        <f>IF(I95&lt;&gt;0,I95/100*F95/Budget!$H$6,0)</f>
        <v>0</v>
      </c>
    </row>
    <row r="96" spans="1:11" ht="12.75">
      <c r="A96" s="130">
        <f>Machinery!A96</f>
        <v>0</v>
      </c>
      <c r="B96" s="139">
        <f>Machinery!J96</f>
        <v>0</v>
      </c>
      <c r="C96" s="144">
        <f>Machinery!K96</f>
      </c>
      <c r="D96" s="139">
        <f>Machinery!G96</f>
        <v>0</v>
      </c>
      <c r="E96" s="131">
        <f>Machinery!I96</f>
        <v>0</v>
      </c>
      <c r="F96" s="139">
        <f>IF(B96&lt;&gt;0,((B96-C96)*Machinery!Q96)+('Fixed Costs'!C96*'Prices &amp; Rates'!$C$4/100),0)</f>
        <v>0</v>
      </c>
      <c r="G96" s="139">
        <f>IF(B96&lt;&gt;0,Machinery!L96/100*(B96+C96)/2,0)</f>
        <v>0</v>
      </c>
      <c r="H96" s="139">
        <f t="shared" si="1"/>
        <v>0</v>
      </c>
      <c r="I96" s="178">
        <f>Machinery!R96</f>
        <v>0</v>
      </c>
      <c r="J96" s="132">
        <f>IF(I96&lt;&gt;0,I96/100*G96/Budget!$H$6,0)</f>
        <v>0</v>
      </c>
      <c r="K96" s="133">
        <f>IF(I96&lt;&gt;0,I96/100*F96/Budget!$H$6,0)</f>
        <v>0</v>
      </c>
    </row>
    <row r="97" spans="1:11" ht="12.75">
      <c r="A97" s="130">
        <f>Machinery!A97</f>
        <v>0</v>
      </c>
      <c r="B97" s="139">
        <f>Machinery!J97</f>
        <v>0</v>
      </c>
      <c r="C97" s="144">
        <f>Machinery!K97</f>
      </c>
      <c r="D97" s="139">
        <f>Machinery!G97</f>
        <v>0</v>
      </c>
      <c r="E97" s="131">
        <f>Machinery!I97</f>
        <v>0</v>
      </c>
      <c r="F97" s="139">
        <f>IF(B97&lt;&gt;0,((B97-C97)*Machinery!Q97)+('Fixed Costs'!C97*'Prices &amp; Rates'!$C$4/100),0)</f>
        <v>0</v>
      </c>
      <c r="G97" s="139">
        <f>IF(B97&lt;&gt;0,Machinery!L97/100*(B97+C97)/2,0)</f>
        <v>0</v>
      </c>
      <c r="H97" s="139">
        <f t="shared" si="1"/>
        <v>0</v>
      </c>
      <c r="I97" s="178">
        <f>Machinery!R97</f>
        <v>0</v>
      </c>
      <c r="J97" s="132">
        <f>IF(I97&lt;&gt;0,I97/100*G97/Budget!$H$6,0)</f>
        <v>0</v>
      </c>
      <c r="K97" s="133">
        <f>IF(I97&lt;&gt;0,I97/100*F97/Budget!$H$6,0)</f>
        <v>0</v>
      </c>
    </row>
    <row r="98" spans="1:11" ht="12.75">
      <c r="A98" s="130">
        <f>Machinery!A98</f>
        <v>0</v>
      </c>
      <c r="B98" s="139">
        <f>Machinery!J98</f>
        <v>0</v>
      </c>
      <c r="C98" s="144">
        <f>Machinery!K98</f>
      </c>
      <c r="D98" s="139">
        <f>Machinery!G98</f>
        <v>0</v>
      </c>
      <c r="E98" s="131">
        <f>Machinery!I98</f>
        <v>0</v>
      </c>
      <c r="F98" s="139">
        <f>IF(B98&lt;&gt;0,((B98-C98)*Machinery!Q98)+('Fixed Costs'!C98*'Prices &amp; Rates'!$C$4/100),0)</f>
        <v>0</v>
      </c>
      <c r="G98" s="139">
        <f>IF(B98&lt;&gt;0,Machinery!L98/100*(B98+C98)/2,0)</f>
        <v>0</v>
      </c>
      <c r="H98" s="139">
        <f t="shared" si="1"/>
        <v>0</v>
      </c>
      <c r="I98" s="178">
        <f>Machinery!R98</f>
        <v>0</v>
      </c>
      <c r="J98" s="132">
        <f>IF(I98&lt;&gt;0,I98/100*G98/Budget!$H$6,0)</f>
        <v>0</v>
      </c>
      <c r="K98" s="133">
        <f>IF(I98&lt;&gt;0,I98/100*F98/Budget!$H$6,0)</f>
        <v>0</v>
      </c>
    </row>
    <row r="99" spans="1:11" ht="12.75">
      <c r="A99" s="130">
        <f>Machinery!A99</f>
        <v>0</v>
      </c>
      <c r="B99" s="139">
        <f>Machinery!J99</f>
        <v>0</v>
      </c>
      <c r="C99" s="144">
        <f>Machinery!K99</f>
      </c>
      <c r="D99" s="139">
        <f>Machinery!G99</f>
        <v>0</v>
      </c>
      <c r="E99" s="131">
        <f>Machinery!I99</f>
        <v>0</v>
      </c>
      <c r="F99" s="139">
        <f>IF(B99&lt;&gt;0,((B99-C99)*Machinery!Q99)+('Fixed Costs'!C99*'Prices &amp; Rates'!$C$4/100),0)</f>
        <v>0</v>
      </c>
      <c r="G99" s="139">
        <f>IF(B99&lt;&gt;0,Machinery!L99/100*(B99+C99)/2,0)</f>
        <v>0</v>
      </c>
      <c r="H99" s="139">
        <f t="shared" si="1"/>
        <v>0</v>
      </c>
      <c r="I99" s="178">
        <f>Machinery!R99</f>
        <v>0</v>
      </c>
      <c r="J99" s="132">
        <f>IF(I99&lt;&gt;0,I99/100*G99/Budget!$H$6,0)</f>
        <v>0</v>
      </c>
      <c r="K99" s="133">
        <f>IF(I99&lt;&gt;0,I99/100*F99/Budget!$H$6,0)</f>
        <v>0</v>
      </c>
    </row>
    <row r="100" spans="1:11" ht="12.75">
      <c r="A100" s="130">
        <f>Machinery!A100</f>
        <v>0</v>
      </c>
      <c r="B100" s="139">
        <f>Machinery!J100</f>
        <v>0</v>
      </c>
      <c r="C100" s="144">
        <f>Machinery!K100</f>
      </c>
      <c r="D100" s="139">
        <f>Machinery!G100</f>
        <v>0</v>
      </c>
      <c r="E100" s="131">
        <f>Machinery!I100</f>
        <v>0</v>
      </c>
      <c r="F100" s="139">
        <f>IF(B100&lt;&gt;0,((B100-C100)*Machinery!Q100)+('Fixed Costs'!C100*'Prices &amp; Rates'!$C$4/100),0)</f>
        <v>0</v>
      </c>
      <c r="G100" s="139">
        <f>IF(B100&lt;&gt;0,Machinery!L100/100*(B100+C100)/2,0)</f>
        <v>0</v>
      </c>
      <c r="H100" s="139">
        <f t="shared" si="1"/>
        <v>0</v>
      </c>
      <c r="I100" s="178">
        <f>Machinery!R100</f>
        <v>0</v>
      </c>
      <c r="J100" s="132">
        <f>IF(I100&lt;&gt;0,I100/100*G100/Budget!$H$6,0)</f>
        <v>0</v>
      </c>
      <c r="K100" s="133">
        <f>IF(I100&lt;&gt;0,I100/100*F100/Budget!$H$6,0)</f>
        <v>0</v>
      </c>
    </row>
    <row r="101" spans="1:11" ht="12.75">
      <c r="A101" s="122" t="s">
        <v>205</v>
      </c>
      <c r="B101" s="136"/>
      <c r="C101" s="141"/>
      <c r="D101" s="136"/>
      <c r="E101" s="122"/>
      <c r="F101" s="146"/>
      <c r="G101" s="136"/>
      <c r="H101" s="146"/>
      <c r="J101" s="132"/>
      <c r="K101" s="133"/>
    </row>
    <row r="102" spans="1:11" ht="12.75">
      <c r="A102" s="130" t="str">
        <f>Vehicles!A4</f>
        <v>Pickup</v>
      </c>
      <c r="B102" s="136">
        <f>Vehicles!G4</f>
        <v>19000</v>
      </c>
      <c r="C102" s="141">
        <f>Vehicles!H4</f>
        <v>2100</v>
      </c>
      <c r="D102" s="136">
        <f>Vehicles!E4</f>
        <v>100000</v>
      </c>
      <c r="E102" s="122">
        <f>Vehicles!F4</f>
        <v>15000</v>
      </c>
      <c r="F102" s="139">
        <f>IF(B102&lt;&gt;0,((B102-C102)*Vehicles!N4)+('Fixed Costs'!C102*'Prices &amp; Rates'!$C$4/100),0)</f>
        <v>3803.626135287426</v>
      </c>
      <c r="G102" s="136">
        <f>Vehicles!J4+Vehicles!K4</f>
        <v>300</v>
      </c>
      <c r="H102" s="139">
        <f t="shared" si="1"/>
        <v>4103.626135287426</v>
      </c>
      <c r="I102" s="176">
        <f>Vehicles!O4</f>
        <v>20</v>
      </c>
      <c r="J102" s="132">
        <f>IF(I102&lt;&gt;0,I102/100*G102/Budget!$H$6,0)</f>
        <v>0.6</v>
      </c>
      <c r="K102" s="133">
        <f>IF(I102&lt;&gt;0,I102/100*F102/Budget!$H$6,0)</f>
        <v>7.607252270574853</v>
      </c>
    </row>
    <row r="103" spans="1:11" ht="12.75">
      <c r="A103" s="130" t="str">
        <f>Vehicles!A5</f>
        <v>Semi truck</v>
      </c>
      <c r="B103" s="136">
        <f>Vehicles!G5</f>
        <v>70000</v>
      </c>
      <c r="C103" s="141">
        <f>Vehicles!H5</f>
        <v>14000</v>
      </c>
      <c r="D103" s="136">
        <f>Vehicles!E5</f>
        <v>150000</v>
      </c>
      <c r="E103" s="122">
        <f>Vehicles!F5</f>
        <v>5000</v>
      </c>
      <c r="F103" s="139">
        <f>IF(B103&lt;&gt;0,((B103-C103)*Vehicles!N5)+('Fixed Costs'!C103*'Prices &amp; Rates'!$C$4/100),0)</f>
        <v>7977.738987262563</v>
      </c>
      <c r="G103" s="136">
        <f>Vehicles!J5+Vehicles!K5</f>
        <v>550</v>
      </c>
      <c r="H103" s="139">
        <f aca="true" t="shared" si="2" ref="H103:H154">F103+G103</f>
        <v>8527.738987262563</v>
      </c>
      <c r="I103" s="176">
        <f>Vehicles!O5</f>
        <v>10</v>
      </c>
      <c r="J103" s="132">
        <f>IF(I103&lt;&gt;0,I103/100*G103/Budget!$H$6,0)</f>
        <v>0.55</v>
      </c>
      <c r="K103" s="133">
        <f>IF(I103&lt;&gt;0,I103/100*F103/Budget!$H$6,0)</f>
        <v>7.977738987262564</v>
      </c>
    </row>
    <row r="104" spans="1:11" ht="12.75">
      <c r="A104" s="130" t="str">
        <f>Vehicles!A6</f>
        <v>ATV</v>
      </c>
      <c r="B104" s="136">
        <f>Vehicles!G6</f>
        <v>8700</v>
      </c>
      <c r="C104" s="141">
        <f>Vehicles!H6</f>
        <v>800</v>
      </c>
      <c r="D104" s="136">
        <f>Vehicles!E6</f>
        <v>15000</v>
      </c>
      <c r="E104" s="122">
        <f>Vehicles!F6</f>
        <v>2200</v>
      </c>
      <c r="F104" s="139">
        <f>IF(B104&lt;&gt;0,((B104-C104)*Vehicles!N6)+('Fixed Costs'!C104*'Prices &amp; Rates'!$C$4/100),0)</f>
        <v>1733.1630311724557</v>
      </c>
      <c r="G104" s="136">
        <f>Vehicles!J6+Vehicles!K6</f>
        <v>0</v>
      </c>
      <c r="H104" s="139">
        <f t="shared" si="2"/>
        <v>1733.1630311724557</v>
      </c>
      <c r="I104" s="176">
        <f>Vehicles!O6</f>
        <v>50</v>
      </c>
      <c r="J104" s="132">
        <f>IF(I104&lt;&gt;0,I104/100*G104/Budget!$H$6,0)</f>
        <v>0</v>
      </c>
      <c r="K104" s="133">
        <f>IF(I104&lt;&gt;0,I104/100*F104/Budget!$H$6,0)</f>
        <v>8.665815155862278</v>
      </c>
    </row>
    <row r="105" spans="1:11" ht="12.75">
      <c r="A105" s="130">
        <f>Vehicles!A7</f>
        <v>0</v>
      </c>
      <c r="B105" s="136">
        <f>Vehicles!G7</f>
        <v>0</v>
      </c>
      <c r="C105" s="141">
        <f>Vehicles!H7</f>
      </c>
      <c r="D105" s="136">
        <f>Vehicles!E7</f>
        <v>0</v>
      </c>
      <c r="E105" s="122">
        <f>Vehicles!F7</f>
        <v>0</v>
      </c>
      <c r="F105" s="139">
        <f>IF(B105&lt;&gt;0,((B105-C105)*Vehicles!N7)+('Fixed Costs'!C105*'Prices &amp; Rates'!$C$4/100),0)</f>
        <v>0</v>
      </c>
      <c r="G105" s="136">
        <f>Vehicles!J7+Vehicles!K7</f>
        <v>0</v>
      </c>
      <c r="H105" s="139">
        <f t="shared" si="2"/>
        <v>0</v>
      </c>
      <c r="I105" s="176">
        <f>Vehicles!O7</f>
        <v>0</v>
      </c>
      <c r="J105" s="132">
        <f>IF(I105&lt;&gt;0,I105/100*G105/Budget!$H$6,0)</f>
        <v>0</v>
      </c>
      <c r="K105" s="133">
        <f>IF(I105&lt;&gt;0,I105/100*F105/Budget!$H$6,0)</f>
        <v>0</v>
      </c>
    </row>
    <row r="106" spans="1:11" ht="12.75">
      <c r="A106" s="130">
        <f>Vehicles!A8</f>
        <v>0</v>
      </c>
      <c r="B106" s="136">
        <f>Vehicles!G8</f>
        <v>0</v>
      </c>
      <c r="C106" s="141">
        <f>Vehicles!H8</f>
      </c>
      <c r="D106" s="136">
        <f>Vehicles!E8</f>
        <v>0</v>
      </c>
      <c r="E106" s="122">
        <f>Vehicles!F8</f>
        <v>0</v>
      </c>
      <c r="F106" s="139">
        <f>IF(B106&lt;&gt;0,((B106-C106)*Vehicles!N8)+('Fixed Costs'!C106*'Prices &amp; Rates'!$C$4/100),0)</f>
        <v>0</v>
      </c>
      <c r="G106" s="136">
        <f>Vehicles!J8+Vehicles!K8</f>
        <v>0</v>
      </c>
      <c r="H106" s="139">
        <f t="shared" si="2"/>
        <v>0</v>
      </c>
      <c r="I106" s="176">
        <f>Vehicles!O8</f>
        <v>0</v>
      </c>
      <c r="J106" s="132">
        <f>IF(I106&lt;&gt;0,I106/100*G106/Budget!$H$6,0)</f>
        <v>0</v>
      </c>
      <c r="K106" s="133">
        <f>IF(I106&lt;&gt;0,I106/100*F106/Budget!$H$6,0)</f>
        <v>0</v>
      </c>
    </row>
    <row r="107" spans="1:11" ht="12.75">
      <c r="A107" s="130">
        <f>Vehicles!A9</f>
        <v>0</v>
      </c>
      <c r="B107" s="136">
        <f>Vehicles!G9</f>
        <v>0</v>
      </c>
      <c r="C107" s="141">
        <f>Vehicles!H9</f>
      </c>
      <c r="D107" s="136">
        <f>Vehicles!E9</f>
        <v>0</v>
      </c>
      <c r="E107" s="122">
        <f>Vehicles!F9</f>
        <v>0</v>
      </c>
      <c r="F107" s="139">
        <f>IF(B107&lt;&gt;0,((B107-C107)*Vehicles!N9)+('Fixed Costs'!C107*'Prices &amp; Rates'!$C$4/100),0)</f>
        <v>0</v>
      </c>
      <c r="G107" s="136">
        <f>Vehicles!J9+Vehicles!K9</f>
        <v>0</v>
      </c>
      <c r="H107" s="139">
        <f t="shared" si="2"/>
        <v>0</v>
      </c>
      <c r="I107" s="176">
        <f>Vehicles!O9</f>
        <v>0</v>
      </c>
      <c r="J107" s="132">
        <f>IF(I107&lt;&gt;0,I107/100*G107/Budget!$H$6,0)</f>
        <v>0</v>
      </c>
      <c r="K107" s="133">
        <f>IF(I107&lt;&gt;0,I107/100*F107/Budget!$H$6,0)</f>
        <v>0</v>
      </c>
    </row>
    <row r="108" spans="1:11" ht="12.75">
      <c r="A108" s="130">
        <f>Vehicles!A10</f>
        <v>0</v>
      </c>
      <c r="B108" s="136">
        <f>Vehicles!G10</f>
        <v>0</v>
      </c>
      <c r="C108" s="141">
        <f>Vehicles!H10</f>
      </c>
      <c r="D108" s="136">
        <f>Vehicles!E10</f>
        <v>0</v>
      </c>
      <c r="E108" s="122">
        <f>Vehicles!F10</f>
        <v>0</v>
      </c>
      <c r="F108" s="139">
        <f>IF(B108&lt;&gt;0,((B108-C108)*Vehicles!N10)+('Fixed Costs'!C108*'Prices &amp; Rates'!$C$4/100),0)</f>
        <v>0</v>
      </c>
      <c r="G108" s="136">
        <f>Vehicles!J10+Vehicles!K10</f>
        <v>0</v>
      </c>
      <c r="H108" s="139">
        <f t="shared" si="2"/>
        <v>0</v>
      </c>
      <c r="I108" s="176">
        <f>Vehicles!O10</f>
        <v>0</v>
      </c>
      <c r="J108" s="132">
        <f>IF(I108&lt;&gt;0,I108/100*G108/Budget!$H$6,0)</f>
        <v>0</v>
      </c>
      <c r="K108" s="133">
        <f>IF(I108&lt;&gt;0,I108/100*F108/Budget!$H$6,0)</f>
        <v>0</v>
      </c>
    </row>
    <row r="109" spans="1:11" ht="12.75">
      <c r="A109" s="130">
        <f>Vehicles!A11</f>
        <v>0</v>
      </c>
      <c r="B109" s="136">
        <f>Vehicles!G11</f>
        <v>0</v>
      </c>
      <c r="C109" s="141">
        <f>Vehicles!H11</f>
      </c>
      <c r="D109" s="136">
        <f>Vehicles!E11</f>
        <v>0</v>
      </c>
      <c r="E109" s="122">
        <f>Vehicles!F11</f>
        <v>0</v>
      </c>
      <c r="F109" s="139">
        <f>IF(B109&lt;&gt;0,((B109-C109)*Vehicles!N11)+('Fixed Costs'!C109*'Prices &amp; Rates'!$C$4/100),0)</f>
        <v>0</v>
      </c>
      <c r="G109" s="136">
        <f>Vehicles!J11+Vehicles!K11</f>
        <v>0</v>
      </c>
      <c r="H109" s="139">
        <f t="shared" si="2"/>
        <v>0</v>
      </c>
      <c r="I109" s="176">
        <f>Vehicles!O11</f>
        <v>0</v>
      </c>
      <c r="J109" s="132">
        <f>IF(I109&lt;&gt;0,I109/100*G109/Budget!$H$6,0)</f>
        <v>0</v>
      </c>
      <c r="K109" s="133">
        <f>IF(I109&lt;&gt;0,I109/100*F109/Budget!$H$6,0)</f>
        <v>0</v>
      </c>
    </row>
    <row r="110" spans="1:11" ht="12.75">
      <c r="A110" s="130">
        <f>Vehicles!A12</f>
        <v>0</v>
      </c>
      <c r="B110" s="136">
        <f>Vehicles!G12</f>
        <v>0</v>
      </c>
      <c r="C110" s="141">
        <f>Vehicles!H12</f>
      </c>
      <c r="D110" s="136">
        <f>Vehicles!E12</f>
        <v>0</v>
      </c>
      <c r="E110" s="122">
        <f>Vehicles!F12</f>
        <v>0</v>
      </c>
      <c r="F110" s="139">
        <f>IF(B110&lt;&gt;0,((B110-C110)*Vehicles!N12)+('Fixed Costs'!C110*'Prices &amp; Rates'!$C$4/100),0)</f>
        <v>0</v>
      </c>
      <c r="G110" s="136">
        <f>Vehicles!J12+Vehicles!K12</f>
        <v>0</v>
      </c>
      <c r="H110" s="139">
        <f t="shared" si="2"/>
        <v>0</v>
      </c>
      <c r="I110" s="176">
        <f>Vehicles!O12</f>
        <v>0</v>
      </c>
      <c r="J110" s="132">
        <f>IF(I110&lt;&gt;0,I110/100*G110/Budget!$H$6,0)</f>
        <v>0</v>
      </c>
      <c r="K110" s="133">
        <f>IF(I110&lt;&gt;0,I110/100*F110/Budget!$H$6,0)</f>
        <v>0</v>
      </c>
    </row>
    <row r="111" spans="1:11" ht="12.75">
      <c r="A111" s="130">
        <f>Vehicles!A13</f>
        <v>0</v>
      </c>
      <c r="B111" s="136">
        <f>Vehicles!G13</f>
        <v>0</v>
      </c>
      <c r="C111" s="141">
        <f>Vehicles!H13</f>
      </c>
      <c r="D111" s="136">
        <f>Vehicles!E13</f>
        <v>0</v>
      </c>
      <c r="E111" s="122">
        <f>Vehicles!F13</f>
        <v>0</v>
      </c>
      <c r="F111" s="139">
        <f>IF(B111&lt;&gt;0,((B111-C111)*Vehicles!N13)+('Fixed Costs'!C111*'Prices &amp; Rates'!$C$4/100),0)</f>
        <v>0</v>
      </c>
      <c r="G111" s="136">
        <f>Vehicles!J13+Vehicles!K13</f>
        <v>0</v>
      </c>
      <c r="H111" s="139">
        <f t="shared" si="2"/>
        <v>0</v>
      </c>
      <c r="I111" s="176">
        <f>Vehicles!O13</f>
        <v>0</v>
      </c>
      <c r="J111" s="132">
        <f>IF(I111&lt;&gt;0,I111/100*G111/Budget!$H$6,0)</f>
        <v>0</v>
      </c>
      <c r="K111" s="133">
        <f>IF(I111&lt;&gt;0,I111/100*F111/Budget!$H$6,0)</f>
        <v>0</v>
      </c>
    </row>
    <row r="112" spans="1:11" ht="12.75">
      <c r="A112" s="130">
        <f>Vehicles!A14</f>
        <v>0</v>
      </c>
      <c r="B112" s="136">
        <f>Vehicles!G14</f>
        <v>0</v>
      </c>
      <c r="C112" s="141">
        <f>Vehicles!H14</f>
      </c>
      <c r="D112" s="136">
        <f>Vehicles!E14</f>
        <v>0</v>
      </c>
      <c r="E112" s="122">
        <f>Vehicles!F14</f>
        <v>0</v>
      </c>
      <c r="F112" s="139">
        <f>IF(B112&lt;&gt;0,((B112-C112)*Vehicles!N14)+('Fixed Costs'!C112*'Prices &amp; Rates'!$C$4/100),0)</f>
        <v>0</v>
      </c>
      <c r="G112" s="136">
        <f>Vehicles!J14+Vehicles!K14</f>
        <v>0</v>
      </c>
      <c r="H112" s="139">
        <f t="shared" si="2"/>
        <v>0</v>
      </c>
      <c r="I112" s="176">
        <f>Vehicles!O14</f>
        <v>0</v>
      </c>
      <c r="J112" s="132">
        <f>IF(I112&lt;&gt;0,I112/100*G112/Budget!$H$6,0)</f>
        <v>0</v>
      </c>
      <c r="K112" s="133">
        <f>IF(I112&lt;&gt;0,I112/100*F112/Budget!$H$6,0)</f>
        <v>0</v>
      </c>
    </row>
    <row r="113" spans="1:11" ht="12.75">
      <c r="A113" s="130">
        <f>Vehicles!A15</f>
        <v>0</v>
      </c>
      <c r="B113" s="136">
        <f>Vehicles!G15</f>
        <v>0</v>
      </c>
      <c r="C113" s="141">
        <f>Vehicles!H15</f>
      </c>
      <c r="D113" s="136">
        <f>Vehicles!E15</f>
        <v>0</v>
      </c>
      <c r="E113" s="122">
        <f>Vehicles!F15</f>
        <v>0</v>
      </c>
      <c r="F113" s="139">
        <f>IF(B113&lt;&gt;0,((B113-C113)*Vehicles!N15)+('Fixed Costs'!C113*'Prices &amp; Rates'!$C$4/100),0)</f>
        <v>0</v>
      </c>
      <c r="G113" s="136">
        <f>Vehicles!J15+Vehicles!K15</f>
        <v>0</v>
      </c>
      <c r="H113" s="139">
        <f t="shared" si="2"/>
        <v>0</v>
      </c>
      <c r="I113" s="176">
        <f>Vehicles!O15</f>
        <v>0</v>
      </c>
      <c r="J113" s="132">
        <f>IF(I113&lt;&gt;0,I113/100*G113/Budget!$H$6,0)</f>
        <v>0</v>
      </c>
      <c r="K113" s="133">
        <f>IF(I113&lt;&gt;0,I113/100*F113/Budget!$H$6,0)</f>
        <v>0</v>
      </c>
    </row>
    <row r="114" spans="1:11" ht="12.75">
      <c r="A114" s="130">
        <f>Vehicles!A16</f>
        <v>0</v>
      </c>
      <c r="B114" s="136">
        <f>Vehicles!G16</f>
        <v>0</v>
      </c>
      <c r="C114" s="141">
        <f>Vehicles!H16</f>
      </c>
      <c r="D114" s="136">
        <f>Vehicles!E16</f>
        <v>0</v>
      </c>
      <c r="E114" s="122">
        <f>Vehicles!F16</f>
        <v>0</v>
      </c>
      <c r="F114" s="139">
        <f>IF(B114&lt;&gt;0,((B114-C114)*Vehicles!N16)+('Fixed Costs'!C114*'Prices &amp; Rates'!$C$4/100),0)</f>
        <v>0</v>
      </c>
      <c r="G114" s="136">
        <f>Vehicles!J16+Vehicles!K16</f>
        <v>0</v>
      </c>
      <c r="H114" s="139">
        <f t="shared" si="2"/>
        <v>0</v>
      </c>
      <c r="I114" s="176">
        <f>Vehicles!O16</f>
        <v>0</v>
      </c>
      <c r="J114" s="132">
        <f>IF(I114&lt;&gt;0,I114/100*G114/Budget!$H$6,0)</f>
        <v>0</v>
      </c>
      <c r="K114" s="133">
        <f>IF(I114&lt;&gt;0,I114/100*F114/Budget!$H$6,0)</f>
        <v>0</v>
      </c>
    </row>
    <row r="115" spans="1:11" ht="12.75">
      <c r="A115" s="130">
        <f>Vehicles!A17</f>
        <v>0</v>
      </c>
      <c r="B115" s="136">
        <f>Vehicles!G17</f>
        <v>0</v>
      </c>
      <c r="C115" s="141">
        <f>Vehicles!H17</f>
      </c>
      <c r="D115" s="136">
        <f>Vehicles!E17</f>
        <v>0</v>
      </c>
      <c r="E115" s="122">
        <f>Vehicles!F17</f>
        <v>0</v>
      </c>
      <c r="F115" s="139">
        <f>IF(B115&lt;&gt;0,((B115-C115)*Vehicles!N17)+('Fixed Costs'!C115*'Prices &amp; Rates'!$C$4/100),0)</f>
        <v>0</v>
      </c>
      <c r="G115" s="136">
        <f>Vehicles!J17+Vehicles!K17</f>
        <v>0</v>
      </c>
      <c r="H115" s="139">
        <f t="shared" si="2"/>
        <v>0</v>
      </c>
      <c r="I115" s="176">
        <f>Vehicles!O17</f>
        <v>0</v>
      </c>
      <c r="J115" s="132">
        <f>IF(I115&lt;&gt;0,I115/100*G115/Budget!$H$6,0)</f>
        <v>0</v>
      </c>
      <c r="K115" s="133">
        <f>IF(I115&lt;&gt;0,I115/100*F115/Budget!$H$6,0)</f>
        <v>0</v>
      </c>
    </row>
    <row r="116" spans="1:11" ht="12.75">
      <c r="A116" s="130">
        <f>Vehicles!A18</f>
        <v>0</v>
      </c>
      <c r="B116" s="136">
        <f>Vehicles!G18</f>
        <v>0</v>
      </c>
      <c r="C116" s="141">
        <f>Vehicles!H18</f>
      </c>
      <c r="D116" s="136">
        <f>Vehicles!E18</f>
        <v>0</v>
      </c>
      <c r="E116" s="122">
        <f>Vehicles!F18</f>
        <v>0</v>
      </c>
      <c r="F116" s="139">
        <f>IF(B116&lt;&gt;0,((B116-C116)*Vehicles!N18)+('Fixed Costs'!C116*'Prices &amp; Rates'!$C$4/100),0)</f>
        <v>0</v>
      </c>
      <c r="G116" s="136">
        <f>Vehicles!J18+Vehicles!K18</f>
        <v>0</v>
      </c>
      <c r="H116" s="139">
        <f t="shared" si="2"/>
        <v>0</v>
      </c>
      <c r="I116" s="176">
        <f>Vehicles!O18</f>
        <v>0</v>
      </c>
      <c r="J116" s="132">
        <f>IF(I116&lt;&gt;0,I116/100*G116/Budget!$H$6,0)</f>
        <v>0</v>
      </c>
      <c r="K116" s="133">
        <f>IF(I116&lt;&gt;0,I116/100*F116/Budget!$H$6,0)</f>
        <v>0</v>
      </c>
    </row>
    <row r="117" spans="1:11" ht="12.75">
      <c r="A117" s="130">
        <f>Vehicles!A19</f>
        <v>0</v>
      </c>
      <c r="B117" s="136">
        <f>Vehicles!G19</f>
        <v>0</v>
      </c>
      <c r="C117" s="141">
        <f>Vehicles!H19</f>
      </c>
      <c r="D117" s="136">
        <f>Vehicles!E19</f>
        <v>0</v>
      </c>
      <c r="E117" s="122">
        <f>Vehicles!F19</f>
        <v>0</v>
      </c>
      <c r="F117" s="139">
        <f>IF(B117&lt;&gt;0,((B117-C117)*Vehicles!N19)+('Fixed Costs'!C117*'Prices &amp; Rates'!$C$4/100),0)</f>
        <v>0</v>
      </c>
      <c r="G117" s="136">
        <f>Vehicles!J19+Vehicles!K19</f>
        <v>0</v>
      </c>
      <c r="H117" s="139">
        <f t="shared" si="2"/>
        <v>0</v>
      </c>
      <c r="I117" s="176">
        <f>Vehicles!O19</f>
        <v>0</v>
      </c>
      <c r="J117" s="132">
        <f>IF(I117&lt;&gt;0,I117/100*G117/Budget!$H$6,0)</f>
        <v>0</v>
      </c>
      <c r="K117" s="133">
        <f>IF(I117&lt;&gt;0,I117/100*F117/Budget!$H$6,0)</f>
        <v>0</v>
      </c>
    </row>
    <row r="118" spans="1:11" ht="12.75">
      <c r="A118" s="130">
        <f>Vehicles!A20</f>
        <v>0</v>
      </c>
      <c r="B118" s="136">
        <f>Vehicles!G20</f>
        <v>0</v>
      </c>
      <c r="C118" s="141">
        <f>Vehicles!H20</f>
      </c>
      <c r="D118" s="136">
        <f>Vehicles!E20</f>
        <v>0</v>
      </c>
      <c r="E118" s="122">
        <f>Vehicles!F20</f>
        <v>0</v>
      </c>
      <c r="F118" s="139">
        <f>IF(B118&lt;&gt;0,((B118-C118)*Vehicles!N20)+('Fixed Costs'!C118*'Prices &amp; Rates'!$C$4/100),0)</f>
        <v>0</v>
      </c>
      <c r="G118" s="136">
        <f>Vehicles!J20+Vehicles!K20</f>
        <v>0</v>
      </c>
      <c r="H118" s="139">
        <f t="shared" si="2"/>
        <v>0</v>
      </c>
      <c r="I118" s="176">
        <f>Vehicles!O20</f>
        <v>0</v>
      </c>
      <c r="J118" s="132">
        <f>IF(I118&lt;&gt;0,I118/100*G118/Budget!$H$6,0)</f>
        <v>0</v>
      </c>
      <c r="K118" s="133">
        <f>IF(I118&lt;&gt;0,I118/100*F118/Budget!$H$6,0)</f>
        <v>0</v>
      </c>
    </row>
    <row r="119" spans="1:11" ht="12.75">
      <c r="A119" s="130">
        <f>Vehicles!A21</f>
        <v>0</v>
      </c>
      <c r="B119" s="136">
        <f>Vehicles!G21</f>
        <v>0</v>
      </c>
      <c r="C119" s="141">
        <f>Vehicles!H21</f>
      </c>
      <c r="D119" s="136">
        <f>Vehicles!E21</f>
        <v>0</v>
      </c>
      <c r="E119" s="122">
        <f>Vehicles!F21</f>
        <v>0</v>
      </c>
      <c r="F119" s="139">
        <f>IF(B119&lt;&gt;0,((B119-C119)*Vehicles!N21)+('Fixed Costs'!C119*'Prices &amp; Rates'!$C$4/100),0)</f>
        <v>0</v>
      </c>
      <c r="G119" s="136">
        <f>Vehicles!J21+Vehicles!K21</f>
        <v>0</v>
      </c>
      <c r="H119" s="139">
        <f t="shared" si="2"/>
        <v>0</v>
      </c>
      <c r="I119" s="176">
        <f>Vehicles!O21</f>
        <v>0</v>
      </c>
      <c r="J119" s="132">
        <f>IF(I119&lt;&gt;0,I119/100*G119/Budget!$H$6,0)</f>
        <v>0</v>
      </c>
      <c r="K119" s="133">
        <f>IF(I119&lt;&gt;0,I119/100*F119/Budget!$H$6,0)</f>
        <v>0</v>
      </c>
    </row>
    <row r="120" spans="1:11" ht="12.75">
      <c r="A120" s="130">
        <f>Vehicles!A22</f>
        <v>0</v>
      </c>
      <c r="B120" s="136">
        <f>Vehicles!G22</f>
        <v>0</v>
      </c>
      <c r="C120" s="141">
        <f>Vehicles!H22</f>
      </c>
      <c r="D120" s="136">
        <f>Vehicles!E22</f>
        <v>0</v>
      </c>
      <c r="E120" s="122">
        <f>Vehicles!F22</f>
        <v>0</v>
      </c>
      <c r="F120" s="139">
        <f>IF(B120&lt;&gt;0,((B120-C120)*Vehicles!N22)+('Fixed Costs'!C120*'Prices &amp; Rates'!$C$4/100),0)</f>
        <v>0</v>
      </c>
      <c r="G120" s="136">
        <f>Vehicles!J22+Vehicles!K22</f>
        <v>0</v>
      </c>
      <c r="H120" s="139">
        <f t="shared" si="2"/>
        <v>0</v>
      </c>
      <c r="I120" s="176">
        <f>Vehicles!O22</f>
        <v>0</v>
      </c>
      <c r="J120" s="132">
        <f>IF(I120&lt;&gt;0,I120/100*G120/Budget!$H$6,0)</f>
        <v>0</v>
      </c>
      <c r="K120" s="133">
        <f>IF(I120&lt;&gt;0,I120/100*F120/Budget!$H$6,0)</f>
        <v>0</v>
      </c>
    </row>
    <row r="121" spans="1:11" ht="12.75">
      <c r="A121" s="130">
        <f>Vehicles!A23</f>
        <v>0</v>
      </c>
      <c r="B121" s="136">
        <f>Vehicles!G23</f>
        <v>0</v>
      </c>
      <c r="C121" s="141">
        <f>Vehicles!H23</f>
      </c>
      <c r="D121" s="136">
        <f>Vehicles!E23</f>
        <v>0</v>
      </c>
      <c r="E121" s="122">
        <f>Vehicles!F23</f>
        <v>0</v>
      </c>
      <c r="F121" s="139">
        <f>IF(B121&lt;&gt;0,((B121-C121)*Vehicles!N23)+('Fixed Costs'!C121*'Prices &amp; Rates'!$C$4/100),0)</f>
        <v>0</v>
      </c>
      <c r="G121" s="136">
        <f>Vehicles!J23+Vehicles!K23</f>
        <v>0</v>
      </c>
      <c r="H121" s="139">
        <f t="shared" si="2"/>
        <v>0</v>
      </c>
      <c r="I121" s="176">
        <f>Vehicles!O23</f>
        <v>0</v>
      </c>
      <c r="J121" s="132">
        <f>IF(I121&lt;&gt;0,I121/100*G121/Budget!$H$6,0)</f>
        <v>0</v>
      </c>
      <c r="K121" s="133">
        <f>IF(I121&lt;&gt;0,I121/100*F121/Budget!$H$6,0)</f>
        <v>0</v>
      </c>
    </row>
    <row r="122" spans="1:11" ht="12.75">
      <c r="A122" s="130">
        <f>Vehicles!A24</f>
        <v>0</v>
      </c>
      <c r="B122" s="136">
        <f>Vehicles!G24</f>
        <v>0</v>
      </c>
      <c r="C122" s="141">
        <f>Vehicles!H24</f>
      </c>
      <c r="D122" s="136">
        <f>Vehicles!E24</f>
        <v>0</v>
      </c>
      <c r="E122" s="122">
        <f>Vehicles!F24</f>
        <v>0</v>
      </c>
      <c r="F122" s="139">
        <f>IF(B122&lt;&gt;0,((B122-C122)*Vehicles!N24)+('Fixed Costs'!C122*'Prices &amp; Rates'!$C$4/100),0)</f>
        <v>0</v>
      </c>
      <c r="G122" s="136">
        <f>Vehicles!J24+Vehicles!K24</f>
        <v>0</v>
      </c>
      <c r="H122" s="139">
        <f t="shared" si="2"/>
        <v>0</v>
      </c>
      <c r="I122" s="176">
        <f>Vehicles!O24</f>
        <v>0</v>
      </c>
      <c r="J122" s="132">
        <f>IF(I122&lt;&gt;0,I122/100*G122/Budget!$H$6,0)</f>
        <v>0</v>
      </c>
      <c r="K122" s="133">
        <f>IF(I122&lt;&gt;0,I122/100*F122/Budget!$H$6,0)</f>
        <v>0</v>
      </c>
    </row>
    <row r="123" spans="1:11" ht="12.75">
      <c r="A123" s="130">
        <f>Vehicles!A25</f>
        <v>0</v>
      </c>
      <c r="B123" s="136">
        <f>Vehicles!G25</f>
        <v>0</v>
      </c>
      <c r="C123" s="141">
        <f>Vehicles!H25</f>
      </c>
      <c r="D123" s="136">
        <f>Vehicles!E25</f>
        <v>0</v>
      </c>
      <c r="E123" s="122">
        <f>Vehicles!F25</f>
        <v>0</v>
      </c>
      <c r="F123" s="139">
        <f>IF(B123&lt;&gt;0,((B123-C123)*Vehicles!N25)+('Fixed Costs'!C123*'Prices &amp; Rates'!$C$4/100),0)</f>
        <v>0</v>
      </c>
      <c r="G123" s="136">
        <f>Vehicles!J25+Vehicles!K25</f>
        <v>0</v>
      </c>
      <c r="H123" s="139">
        <f t="shared" si="2"/>
        <v>0</v>
      </c>
      <c r="I123" s="176">
        <f>Vehicles!O25</f>
        <v>0</v>
      </c>
      <c r="J123" s="132">
        <f>IF(I123&lt;&gt;0,I123/100*G123/Budget!$H$6,0)</f>
        <v>0</v>
      </c>
      <c r="K123" s="133">
        <f>IF(I123&lt;&gt;0,I123/100*F123/Budget!$H$6,0)</f>
        <v>0</v>
      </c>
    </row>
    <row r="124" spans="1:11" ht="12.75">
      <c r="A124" s="130">
        <f>Vehicles!A26</f>
        <v>0</v>
      </c>
      <c r="B124" s="136">
        <f>Vehicles!G26</f>
        <v>0</v>
      </c>
      <c r="C124" s="141">
        <f>Vehicles!H26</f>
      </c>
      <c r="D124" s="136">
        <f>Vehicles!E26</f>
        <v>0</v>
      </c>
      <c r="E124" s="122">
        <f>Vehicles!F26</f>
        <v>0</v>
      </c>
      <c r="F124" s="139">
        <f>IF(B124&lt;&gt;0,((B124-C124)*Vehicles!N26)+('Fixed Costs'!C124*'Prices &amp; Rates'!$C$4/100),0)</f>
        <v>0</v>
      </c>
      <c r="G124" s="136">
        <f>Vehicles!J26+Vehicles!K26</f>
        <v>0</v>
      </c>
      <c r="H124" s="139">
        <f t="shared" si="2"/>
        <v>0</v>
      </c>
      <c r="I124" s="176">
        <f>Vehicles!O26</f>
        <v>0</v>
      </c>
      <c r="J124" s="132">
        <f>IF(I124&lt;&gt;0,I124/100*G124/Budget!$H$6,0)</f>
        <v>0</v>
      </c>
      <c r="K124" s="133">
        <f>IF(I124&lt;&gt;0,I124/100*F124/Budget!$H$6,0)</f>
        <v>0</v>
      </c>
    </row>
    <row r="125" spans="1:11" ht="12.75">
      <c r="A125" s="130">
        <f>Vehicles!A27</f>
        <v>0</v>
      </c>
      <c r="B125" s="136">
        <f>Vehicles!G27</f>
        <v>0</v>
      </c>
      <c r="C125" s="141">
        <f>Vehicles!H27</f>
      </c>
      <c r="D125" s="136">
        <f>Vehicles!E27</f>
        <v>0</v>
      </c>
      <c r="E125" s="122">
        <f>Vehicles!F27</f>
        <v>0</v>
      </c>
      <c r="F125" s="139">
        <f>IF(B125&lt;&gt;0,((B125-C125)*Vehicles!N27)+('Fixed Costs'!C125*'Prices &amp; Rates'!$C$4/100),0)</f>
        <v>0</v>
      </c>
      <c r="G125" s="136">
        <f>Vehicles!J27+Vehicles!K27</f>
        <v>0</v>
      </c>
      <c r="H125" s="139">
        <f t="shared" si="2"/>
        <v>0</v>
      </c>
      <c r="I125" s="176">
        <f>Vehicles!O27</f>
        <v>0</v>
      </c>
      <c r="J125" s="132">
        <f>IF(I125&lt;&gt;0,I125/100*G125/Budget!$H$6,0)</f>
        <v>0</v>
      </c>
      <c r="K125" s="133">
        <f>IF(I125&lt;&gt;0,I125/100*F125/Budget!$H$6,0)</f>
        <v>0</v>
      </c>
    </row>
    <row r="126" spans="1:11" ht="12.75">
      <c r="A126" s="130">
        <f>Vehicles!A28</f>
        <v>0</v>
      </c>
      <c r="B126" s="136">
        <f>Vehicles!G28</f>
        <v>0</v>
      </c>
      <c r="C126" s="141">
        <f>Vehicles!H28</f>
      </c>
      <c r="D126" s="136">
        <f>Vehicles!E28</f>
        <v>0</v>
      </c>
      <c r="E126" s="122">
        <f>Vehicles!F28</f>
        <v>0</v>
      </c>
      <c r="F126" s="139">
        <f>IF(B126&lt;&gt;0,((B126-C126)*Vehicles!N28)+('Fixed Costs'!C126*'Prices &amp; Rates'!$C$4/100),0)</f>
        <v>0</v>
      </c>
      <c r="G126" s="136">
        <f>Vehicles!J28+Vehicles!K28</f>
        <v>0</v>
      </c>
      <c r="H126" s="139">
        <f t="shared" si="2"/>
        <v>0</v>
      </c>
      <c r="I126" s="176">
        <f>Vehicles!O28</f>
        <v>0</v>
      </c>
      <c r="J126" s="132">
        <f>IF(I126&lt;&gt;0,I126/100*G126/Budget!$H$6,0)</f>
        <v>0</v>
      </c>
      <c r="K126" s="133">
        <f>IF(I126&lt;&gt;0,I126/100*F126/Budget!$H$6,0)</f>
        <v>0</v>
      </c>
    </row>
    <row r="127" spans="1:11" ht="12.75">
      <c r="A127" s="130">
        <f>Vehicles!A29</f>
        <v>0</v>
      </c>
      <c r="B127" s="136">
        <f>Vehicles!G29</f>
        <v>0</v>
      </c>
      <c r="C127" s="141">
        <f>Vehicles!H29</f>
      </c>
      <c r="D127" s="136">
        <f>Vehicles!E29</f>
        <v>0</v>
      </c>
      <c r="E127" s="122">
        <f>Vehicles!F29</f>
        <v>0</v>
      </c>
      <c r="F127" s="139">
        <f>IF(B127&lt;&gt;0,((B127-C127)*Vehicles!N29)+('Fixed Costs'!C127*'Prices &amp; Rates'!$C$4/100),0)</f>
        <v>0</v>
      </c>
      <c r="G127" s="136">
        <f>Vehicles!J29+Vehicles!K29</f>
        <v>0</v>
      </c>
      <c r="H127" s="139">
        <f t="shared" si="2"/>
        <v>0</v>
      </c>
      <c r="I127" s="176">
        <f>Vehicles!O29</f>
        <v>0</v>
      </c>
      <c r="J127" s="132">
        <f>IF(I127&lt;&gt;0,I127/100*G127/Budget!$H$6,0)</f>
        <v>0</v>
      </c>
      <c r="K127" s="133">
        <f>IF(I127&lt;&gt;0,I127/100*F127/Budget!$H$6,0)</f>
        <v>0</v>
      </c>
    </row>
    <row r="128" spans="1:11" ht="12.75">
      <c r="A128" s="130">
        <f>Vehicles!A30</f>
        <v>0</v>
      </c>
      <c r="B128" s="136">
        <f>Vehicles!G30</f>
        <v>0</v>
      </c>
      <c r="C128" s="141">
        <f>Vehicles!H30</f>
      </c>
      <c r="D128" s="136">
        <f>Vehicles!E30</f>
        <v>0</v>
      </c>
      <c r="E128" s="122">
        <f>Vehicles!F30</f>
        <v>0</v>
      </c>
      <c r="F128" s="139">
        <f>IF(B128&lt;&gt;0,((B128-C128)*Vehicles!N30)+('Fixed Costs'!C128*'Prices &amp; Rates'!$C$4/100),0)</f>
        <v>0</v>
      </c>
      <c r="G128" s="136">
        <f>Vehicles!J30+Vehicles!K30</f>
        <v>0</v>
      </c>
      <c r="H128" s="139">
        <f t="shared" si="2"/>
        <v>0</v>
      </c>
      <c r="I128" s="176">
        <f>Vehicles!O30</f>
        <v>0</v>
      </c>
      <c r="J128" s="132">
        <f>IF(I128&lt;&gt;0,I128/100*G128/Budget!$H$6,0)</f>
        <v>0</v>
      </c>
      <c r="K128" s="133">
        <f>IF(I128&lt;&gt;0,I128/100*F128/Budget!$H$6,0)</f>
        <v>0</v>
      </c>
    </row>
    <row r="129" spans="1:11" ht="12.75">
      <c r="A129" s="130">
        <f>Vehicles!A31</f>
        <v>0</v>
      </c>
      <c r="B129" s="136">
        <f>Vehicles!G31</f>
        <v>0</v>
      </c>
      <c r="C129" s="141">
        <f>Vehicles!H31</f>
      </c>
      <c r="D129" s="136">
        <f>Vehicles!E31</f>
        <v>0</v>
      </c>
      <c r="E129" s="122">
        <f>Vehicles!F31</f>
        <v>0</v>
      </c>
      <c r="F129" s="139">
        <f>IF(B129&lt;&gt;0,((B129-C129)*Vehicles!N31)+('Fixed Costs'!C129*'Prices &amp; Rates'!$C$4/100),0)</f>
        <v>0</v>
      </c>
      <c r="G129" s="136">
        <f>Vehicles!J31+Vehicles!K31</f>
        <v>0</v>
      </c>
      <c r="H129" s="139">
        <f t="shared" si="2"/>
        <v>0</v>
      </c>
      <c r="I129" s="176">
        <f>Vehicles!O31</f>
        <v>0</v>
      </c>
      <c r="J129" s="132">
        <f>IF(I129&lt;&gt;0,I129/100*G129/Budget!$H$6,0)</f>
        <v>0</v>
      </c>
      <c r="K129" s="133">
        <f>IF(I129&lt;&gt;0,I129/100*F129/Budget!$H$6,0)</f>
        <v>0</v>
      </c>
    </row>
    <row r="130" spans="1:11" ht="12.75">
      <c r="A130" s="130">
        <f>Vehicles!A32</f>
        <v>0</v>
      </c>
      <c r="B130" s="136">
        <f>Vehicles!G32</f>
        <v>0</v>
      </c>
      <c r="C130" s="141">
        <f>Vehicles!H32</f>
      </c>
      <c r="D130" s="136">
        <f>Vehicles!E32</f>
        <v>0</v>
      </c>
      <c r="E130" s="122">
        <f>Vehicles!F32</f>
        <v>0</v>
      </c>
      <c r="F130" s="139">
        <f>IF(B130&lt;&gt;0,((B130-C130)*Vehicles!N32)+('Fixed Costs'!C130*'Prices &amp; Rates'!$C$4/100),0)</f>
        <v>0</v>
      </c>
      <c r="G130" s="136">
        <f>Vehicles!J32+Vehicles!K32</f>
        <v>0</v>
      </c>
      <c r="H130" s="139">
        <f t="shared" si="2"/>
        <v>0</v>
      </c>
      <c r="I130" s="176">
        <f>Vehicles!O32</f>
        <v>0</v>
      </c>
      <c r="J130" s="132">
        <f>IF(I130&lt;&gt;0,I130/100*G130/Budget!$H$6,0)</f>
        <v>0</v>
      </c>
      <c r="K130" s="133">
        <f>IF(I130&lt;&gt;0,I130/100*F130/Budget!$H$6,0)</f>
        <v>0</v>
      </c>
    </row>
    <row r="131" spans="1:11" ht="12.75">
      <c r="A131" s="130">
        <f>Vehicles!A33</f>
        <v>0</v>
      </c>
      <c r="B131" s="136">
        <f>Vehicles!G33</f>
        <v>0</v>
      </c>
      <c r="C131" s="141">
        <f>Vehicles!H33</f>
      </c>
      <c r="D131" s="136">
        <f>Vehicles!E33</f>
        <v>0</v>
      </c>
      <c r="E131" s="122">
        <f>Vehicles!F33</f>
        <v>0</v>
      </c>
      <c r="F131" s="139">
        <f>IF(B131&lt;&gt;0,((B131-C131)*Vehicles!N33)+('Fixed Costs'!C131*'Prices &amp; Rates'!$C$4/100),0)</f>
        <v>0</v>
      </c>
      <c r="G131" s="136">
        <f>Vehicles!J33+Vehicles!K33</f>
        <v>0</v>
      </c>
      <c r="H131" s="139">
        <f t="shared" si="2"/>
        <v>0</v>
      </c>
      <c r="I131" s="176">
        <f>Vehicles!O33</f>
        <v>0</v>
      </c>
      <c r="J131" s="132">
        <f>IF(I131&lt;&gt;0,I131/100*G131/Budget!$H$6,0)</f>
        <v>0</v>
      </c>
      <c r="K131" s="133">
        <f>IF(I131&lt;&gt;0,I131/100*F131/Budget!$H$6,0)</f>
        <v>0</v>
      </c>
    </row>
    <row r="132" spans="1:11" ht="12.75">
      <c r="A132" s="130">
        <f>Vehicles!A34</f>
        <v>0</v>
      </c>
      <c r="B132" s="136">
        <f>Vehicles!G34</f>
        <v>0</v>
      </c>
      <c r="C132" s="141">
        <f>Vehicles!H34</f>
      </c>
      <c r="D132" s="136">
        <f>Vehicles!E34</f>
        <v>0</v>
      </c>
      <c r="E132" s="122">
        <f>Vehicles!F34</f>
        <v>0</v>
      </c>
      <c r="F132" s="139">
        <f>IF(B132&lt;&gt;0,((B132-C132)*Vehicles!N34)+('Fixed Costs'!C132*'Prices &amp; Rates'!$C$4/100),0)</f>
        <v>0</v>
      </c>
      <c r="G132" s="136">
        <f>Vehicles!J34+Vehicles!K34</f>
        <v>0</v>
      </c>
      <c r="H132" s="139">
        <f t="shared" si="2"/>
        <v>0</v>
      </c>
      <c r="I132" s="176">
        <f>Vehicles!O34</f>
        <v>0</v>
      </c>
      <c r="J132" s="132">
        <f>IF(I132&lt;&gt;0,I132/100*G132/Budget!$H$6,0)</f>
        <v>0</v>
      </c>
      <c r="K132" s="133">
        <f>IF(I132&lt;&gt;0,I132/100*F132/Budget!$H$6,0)</f>
        <v>0</v>
      </c>
    </row>
    <row r="133" spans="1:11" ht="12.75">
      <c r="A133" s="130">
        <f>Vehicles!A35</f>
        <v>0</v>
      </c>
      <c r="B133" s="136">
        <f>Vehicles!G35</f>
        <v>0</v>
      </c>
      <c r="C133" s="141">
        <f>Vehicles!H35</f>
      </c>
      <c r="D133" s="136">
        <f>Vehicles!E35</f>
        <v>0</v>
      </c>
      <c r="E133" s="122">
        <f>Vehicles!F35</f>
        <v>0</v>
      </c>
      <c r="F133" s="139">
        <f>IF(B133&lt;&gt;0,((B133-C133)*Vehicles!N35)+('Fixed Costs'!C133*'Prices &amp; Rates'!$C$4/100),0)</f>
        <v>0</v>
      </c>
      <c r="G133" s="136">
        <f>Vehicles!J35+Vehicles!K35</f>
        <v>0</v>
      </c>
      <c r="H133" s="139">
        <f t="shared" si="2"/>
        <v>0</v>
      </c>
      <c r="I133" s="176">
        <f>Vehicles!O35</f>
        <v>0</v>
      </c>
      <c r="J133" s="132">
        <f>IF(I133&lt;&gt;0,I133/100*G133/Budget!$H$6,0)</f>
        <v>0</v>
      </c>
      <c r="K133" s="133">
        <f>IF(I133&lt;&gt;0,I133/100*F133/Budget!$H$6,0)</f>
        <v>0</v>
      </c>
    </row>
    <row r="134" spans="1:11" ht="12.75">
      <c r="A134" s="130">
        <f>Vehicles!A36</f>
        <v>0</v>
      </c>
      <c r="B134" s="136">
        <f>Vehicles!G36</f>
        <v>0</v>
      </c>
      <c r="C134" s="141">
        <f>Vehicles!H36</f>
      </c>
      <c r="D134" s="136">
        <f>Vehicles!E36</f>
        <v>0</v>
      </c>
      <c r="E134" s="122">
        <f>Vehicles!F36</f>
        <v>0</v>
      </c>
      <c r="F134" s="139">
        <f>IF(B134&lt;&gt;0,((B134-C134)*Vehicles!N36)+('Fixed Costs'!C134*'Prices &amp; Rates'!$C$4/100),0)</f>
        <v>0</v>
      </c>
      <c r="G134" s="136">
        <f>Vehicles!J36+Vehicles!K36</f>
        <v>0</v>
      </c>
      <c r="H134" s="139">
        <f t="shared" si="2"/>
        <v>0</v>
      </c>
      <c r="I134" s="176">
        <f>Vehicles!O36</f>
        <v>0</v>
      </c>
      <c r="J134" s="132">
        <f>IF(I134&lt;&gt;0,I134/100*G134/Budget!$H$6,0)</f>
        <v>0</v>
      </c>
      <c r="K134" s="133">
        <f>IF(I134&lt;&gt;0,I134/100*F134/Budget!$H$6,0)</f>
        <v>0</v>
      </c>
    </row>
    <row r="135" spans="1:11" ht="12.75">
      <c r="A135" s="130">
        <f>Vehicles!A37</f>
        <v>0</v>
      </c>
      <c r="B135" s="136">
        <f>Vehicles!G37</f>
        <v>0</v>
      </c>
      <c r="C135" s="141">
        <f>Vehicles!H37</f>
      </c>
      <c r="D135" s="136">
        <f>Vehicles!E37</f>
        <v>0</v>
      </c>
      <c r="E135" s="122">
        <f>Vehicles!F37</f>
        <v>0</v>
      </c>
      <c r="F135" s="139">
        <f>IF(B135&lt;&gt;0,((B135-C135)*Vehicles!N37)+('Fixed Costs'!C135*'Prices &amp; Rates'!$C$4/100),0)</f>
        <v>0</v>
      </c>
      <c r="G135" s="136">
        <f>Vehicles!J37+Vehicles!K37</f>
        <v>0</v>
      </c>
      <c r="H135" s="139">
        <f t="shared" si="2"/>
        <v>0</v>
      </c>
      <c r="I135" s="176">
        <f>Vehicles!O37</f>
        <v>0</v>
      </c>
      <c r="J135" s="132">
        <f>IF(I135&lt;&gt;0,I135/100*G135/Budget!$H$6,0)</f>
        <v>0</v>
      </c>
      <c r="K135" s="133">
        <f>IF(I135&lt;&gt;0,I135/100*F135/Budget!$H$6,0)</f>
        <v>0</v>
      </c>
    </row>
    <row r="136" spans="1:11" ht="12.75">
      <c r="A136" s="130">
        <f>Vehicles!A38</f>
        <v>0</v>
      </c>
      <c r="B136" s="136">
        <f>Vehicles!G38</f>
        <v>0</v>
      </c>
      <c r="C136" s="141">
        <f>Vehicles!H38</f>
      </c>
      <c r="D136" s="136">
        <f>Vehicles!E38</f>
        <v>0</v>
      </c>
      <c r="E136" s="122">
        <f>Vehicles!F38</f>
        <v>0</v>
      </c>
      <c r="F136" s="139">
        <f>IF(B136&lt;&gt;0,((B136-C136)*Vehicles!N38)+('Fixed Costs'!C136*'Prices &amp; Rates'!$C$4/100),0)</f>
        <v>0</v>
      </c>
      <c r="G136" s="136">
        <f>Vehicles!J38+Vehicles!K38</f>
        <v>0</v>
      </c>
      <c r="H136" s="139">
        <f t="shared" si="2"/>
        <v>0</v>
      </c>
      <c r="I136" s="176">
        <f>Vehicles!O38</f>
        <v>0</v>
      </c>
      <c r="J136" s="132">
        <f>IF(I136&lt;&gt;0,I136/100*G136/Budget!$H$6,0)</f>
        <v>0</v>
      </c>
      <c r="K136" s="133">
        <f>IF(I136&lt;&gt;0,I136/100*F136/Budget!$H$6,0)</f>
        <v>0</v>
      </c>
    </row>
    <row r="137" spans="1:11" ht="12.75">
      <c r="A137" s="130">
        <f>Vehicles!A39</f>
        <v>0</v>
      </c>
      <c r="B137" s="136">
        <f>Vehicles!G39</f>
        <v>0</v>
      </c>
      <c r="C137" s="141">
        <f>Vehicles!H39</f>
      </c>
      <c r="D137" s="136">
        <f>Vehicles!E39</f>
        <v>0</v>
      </c>
      <c r="E137" s="122">
        <f>Vehicles!F39</f>
        <v>0</v>
      </c>
      <c r="F137" s="139">
        <f>IF(B137&lt;&gt;0,((B137-C137)*Vehicles!N39)+('Fixed Costs'!C137*'Prices &amp; Rates'!$C$4/100),0)</f>
        <v>0</v>
      </c>
      <c r="G137" s="136">
        <f>Vehicles!J39+Vehicles!K39</f>
        <v>0</v>
      </c>
      <c r="H137" s="139">
        <f t="shared" si="2"/>
        <v>0</v>
      </c>
      <c r="I137" s="176">
        <f>Vehicles!O39</f>
        <v>0</v>
      </c>
      <c r="J137" s="132">
        <f>IF(I137&lt;&gt;0,I137/100*G137/Budget!$H$6,0)</f>
        <v>0</v>
      </c>
      <c r="K137" s="133">
        <f>IF(I137&lt;&gt;0,I137/100*F137/Budget!$H$6,0)</f>
        <v>0</v>
      </c>
    </row>
    <row r="138" spans="1:11" ht="12.75">
      <c r="A138" s="130">
        <f>Vehicles!A40</f>
        <v>0</v>
      </c>
      <c r="B138" s="136">
        <f>Vehicles!G40</f>
        <v>0</v>
      </c>
      <c r="C138" s="141">
        <f>Vehicles!H40</f>
      </c>
      <c r="D138" s="136">
        <f>Vehicles!E40</f>
        <v>0</v>
      </c>
      <c r="E138" s="122">
        <f>Vehicles!F40</f>
        <v>0</v>
      </c>
      <c r="F138" s="139">
        <f>IF(B138&lt;&gt;0,((B138-C138)*Vehicles!N40)+('Fixed Costs'!C138*'Prices &amp; Rates'!$C$4/100),0)</f>
        <v>0</v>
      </c>
      <c r="G138" s="136">
        <f>Vehicles!J40+Vehicles!K40</f>
        <v>0</v>
      </c>
      <c r="H138" s="139">
        <f t="shared" si="2"/>
        <v>0</v>
      </c>
      <c r="I138" s="176">
        <f>Vehicles!O40</f>
        <v>0</v>
      </c>
      <c r="J138" s="132">
        <f>IF(I138&lt;&gt;0,I138/100*G138/Budget!$H$6,0)</f>
        <v>0</v>
      </c>
      <c r="K138" s="133">
        <f>IF(I138&lt;&gt;0,I138/100*F138/Budget!$H$6,0)</f>
        <v>0</v>
      </c>
    </row>
    <row r="139" spans="1:11" ht="12.75">
      <c r="A139" s="130">
        <f>Vehicles!A41</f>
        <v>0</v>
      </c>
      <c r="B139" s="136">
        <f>Vehicles!G41</f>
        <v>0</v>
      </c>
      <c r="C139" s="141">
        <f>Vehicles!H41</f>
      </c>
      <c r="D139" s="136">
        <f>Vehicles!E41</f>
        <v>0</v>
      </c>
      <c r="E139" s="122">
        <f>Vehicles!F41</f>
        <v>0</v>
      </c>
      <c r="F139" s="139">
        <f>IF(B139&lt;&gt;0,((B139-C139)*Vehicles!N41)+('Fixed Costs'!C139*'Prices &amp; Rates'!$C$4/100),0)</f>
        <v>0</v>
      </c>
      <c r="G139" s="136">
        <f>Vehicles!J41+Vehicles!K41</f>
        <v>0</v>
      </c>
      <c r="H139" s="139">
        <f t="shared" si="2"/>
        <v>0</v>
      </c>
      <c r="I139" s="176">
        <f>Vehicles!O41</f>
        <v>0</v>
      </c>
      <c r="J139" s="132">
        <f>IF(I139&lt;&gt;0,I139/100*G139/Budget!$H$6,0)</f>
        <v>0</v>
      </c>
      <c r="K139" s="133">
        <f>IF(I139&lt;&gt;0,I139/100*F139/Budget!$H$6,0)</f>
        <v>0</v>
      </c>
    </row>
    <row r="140" spans="1:11" ht="12.75">
      <c r="A140" s="130">
        <f>Vehicles!A42</f>
        <v>0</v>
      </c>
      <c r="B140" s="136">
        <f>Vehicles!G42</f>
        <v>0</v>
      </c>
      <c r="C140" s="141">
        <f>Vehicles!H42</f>
      </c>
      <c r="D140" s="136">
        <f>Vehicles!E42</f>
        <v>0</v>
      </c>
      <c r="E140" s="122">
        <f>Vehicles!F42</f>
        <v>0</v>
      </c>
      <c r="F140" s="139">
        <f>IF(B140&lt;&gt;0,((B140-C140)*Vehicles!N42)+('Fixed Costs'!C140*'Prices &amp; Rates'!$C$4/100),0)</f>
        <v>0</v>
      </c>
      <c r="G140" s="136">
        <f>Vehicles!J42+Vehicles!K42</f>
        <v>0</v>
      </c>
      <c r="H140" s="139">
        <f t="shared" si="2"/>
        <v>0</v>
      </c>
      <c r="I140" s="176">
        <f>Vehicles!O42</f>
        <v>0</v>
      </c>
      <c r="J140" s="132">
        <f>IF(I140&lt;&gt;0,I140/100*G140/Budget!$H$6,0)</f>
        <v>0</v>
      </c>
      <c r="K140" s="133">
        <f>IF(I140&lt;&gt;0,I140/100*F140/Budget!$H$6,0)</f>
        <v>0</v>
      </c>
    </row>
    <row r="141" spans="1:11" ht="12.75">
      <c r="A141" s="130">
        <f>Vehicles!A43</f>
        <v>0</v>
      </c>
      <c r="B141" s="136">
        <f>Vehicles!G43</f>
        <v>0</v>
      </c>
      <c r="C141" s="141">
        <f>Vehicles!H43</f>
      </c>
      <c r="D141" s="136">
        <f>Vehicles!E43</f>
        <v>0</v>
      </c>
      <c r="E141" s="122">
        <f>Vehicles!F43</f>
        <v>0</v>
      </c>
      <c r="F141" s="139">
        <f>IF(B141&lt;&gt;0,((B141-C141)*Vehicles!N43)+('Fixed Costs'!C141*'Prices &amp; Rates'!$C$4/100),0)</f>
        <v>0</v>
      </c>
      <c r="G141" s="136">
        <f>Vehicles!J43+Vehicles!K43</f>
        <v>0</v>
      </c>
      <c r="H141" s="139">
        <f t="shared" si="2"/>
        <v>0</v>
      </c>
      <c r="I141" s="176">
        <f>Vehicles!O43</f>
        <v>0</v>
      </c>
      <c r="J141" s="132">
        <f>IF(I141&lt;&gt;0,I141/100*G141/Budget!$H$6,0)</f>
        <v>0</v>
      </c>
      <c r="K141" s="133">
        <f>IF(I141&lt;&gt;0,I141/100*F141/Budget!$H$6,0)</f>
        <v>0</v>
      </c>
    </row>
    <row r="142" spans="1:11" ht="12.75">
      <c r="A142" s="130">
        <f>Vehicles!A44</f>
        <v>0</v>
      </c>
      <c r="B142" s="136">
        <f>Vehicles!G44</f>
        <v>0</v>
      </c>
      <c r="C142" s="141">
        <f>Vehicles!H44</f>
      </c>
      <c r="D142" s="136">
        <f>Vehicles!E44</f>
        <v>0</v>
      </c>
      <c r="E142" s="122">
        <f>Vehicles!F44</f>
        <v>0</v>
      </c>
      <c r="F142" s="139">
        <f>IF(B142&lt;&gt;0,((B142-C142)*Vehicles!N44)+('Fixed Costs'!C142*'Prices &amp; Rates'!$C$4/100),0)</f>
        <v>0</v>
      </c>
      <c r="G142" s="136">
        <f>Vehicles!J44+Vehicles!K44</f>
        <v>0</v>
      </c>
      <c r="H142" s="139">
        <f t="shared" si="2"/>
        <v>0</v>
      </c>
      <c r="I142" s="176">
        <f>Vehicles!O44</f>
        <v>0</v>
      </c>
      <c r="J142" s="132">
        <f>IF(I142&lt;&gt;0,I142/100*G142/Budget!$H$6,0)</f>
        <v>0</v>
      </c>
      <c r="K142" s="133">
        <f>IF(I142&lt;&gt;0,I142/100*F142/Budget!$H$6,0)</f>
        <v>0</v>
      </c>
    </row>
    <row r="143" spans="1:11" ht="12.75">
      <c r="A143" s="130">
        <f>Vehicles!A45</f>
        <v>0</v>
      </c>
      <c r="B143" s="136">
        <f>Vehicles!G45</f>
        <v>0</v>
      </c>
      <c r="C143" s="141">
        <f>Vehicles!H45</f>
      </c>
      <c r="D143" s="136">
        <f>Vehicles!E45</f>
        <v>0</v>
      </c>
      <c r="E143" s="122">
        <f>Vehicles!F45</f>
        <v>0</v>
      </c>
      <c r="F143" s="139">
        <f>IF(B143&lt;&gt;0,((B143-C143)*Vehicles!N45)+('Fixed Costs'!C143*'Prices &amp; Rates'!$C$4/100),0)</f>
        <v>0</v>
      </c>
      <c r="G143" s="136">
        <f>Vehicles!J45+Vehicles!K45</f>
        <v>0</v>
      </c>
      <c r="H143" s="139">
        <f t="shared" si="2"/>
        <v>0</v>
      </c>
      <c r="I143" s="176">
        <f>Vehicles!O45</f>
        <v>0</v>
      </c>
      <c r="J143" s="132">
        <f>IF(I143&lt;&gt;0,I143/100*G143/Budget!$H$6,0)</f>
        <v>0</v>
      </c>
      <c r="K143" s="133">
        <f>IF(I143&lt;&gt;0,I143/100*F143/Budget!$H$6,0)</f>
        <v>0</v>
      </c>
    </row>
    <row r="144" spans="1:11" ht="12.75">
      <c r="A144" s="130">
        <f>Vehicles!A46</f>
        <v>0</v>
      </c>
      <c r="B144" s="136">
        <f>Vehicles!G46</f>
        <v>0</v>
      </c>
      <c r="C144" s="141">
        <f>Vehicles!H46</f>
      </c>
      <c r="D144" s="136">
        <f>Vehicles!E46</f>
        <v>0</v>
      </c>
      <c r="E144" s="122">
        <f>Vehicles!F46</f>
        <v>0</v>
      </c>
      <c r="F144" s="139">
        <f>IF(B144&lt;&gt;0,((B144-C144)*Vehicles!N46)+('Fixed Costs'!C144*'Prices &amp; Rates'!$C$4/100),0)</f>
        <v>0</v>
      </c>
      <c r="G144" s="136">
        <f>Vehicles!J46+Vehicles!K46</f>
        <v>0</v>
      </c>
      <c r="H144" s="139">
        <f t="shared" si="2"/>
        <v>0</v>
      </c>
      <c r="I144" s="176">
        <f>Vehicles!O46</f>
        <v>0</v>
      </c>
      <c r="J144" s="132">
        <f>IF(I144&lt;&gt;0,I144/100*G144/Budget!$H$6,0)</f>
        <v>0</v>
      </c>
      <c r="K144" s="133">
        <f>IF(I144&lt;&gt;0,I144/100*F144/Budget!$H$6,0)</f>
        <v>0</v>
      </c>
    </row>
    <row r="145" spans="1:11" ht="12.75">
      <c r="A145" s="130">
        <f>Vehicles!A47</f>
        <v>0</v>
      </c>
      <c r="B145" s="136">
        <f>Vehicles!G47</f>
        <v>0</v>
      </c>
      <c r="C145" s="141">
        <f>Vehicles!H47</f>
      </c>
      <c r="D145" s="136">
        <f>Vehicles!E47</f>
        <v>0</v>
      </c>
      <c r="E145" s="122">
        <f>Vehicles!F47</f>
        <v>0</v>
      </c>
      <c r="F145" s="139">
        <f>IF(B145&lt;&gt;0,((B145-C145)*Vehicles!N47)+('Fixed Costs'!C145*'Prices &amp; Rates'!$C$4/100),0)</f>
        <v>0</v>
      </c>
      <c r="G145" s="136">
        <f>Vehicles!J47+Vehicles!K47</f>
        <v>0</v>
      </c>
      <c r="H145" s="139">
        <f t="shared" si="2"/>
        <v>0</v>
      </c>
      <c r="I145" s="176">
        <f>Vehicles!O47</f>
        <v>0</v>
      </c>
      <c r="J145" s="132">
        <f>IF(I145&lt;&gt;0,I145/100*G145/Budget!$H$6,0)</f>
        <v>0</v>
      </c>
      <c r="K145" s="133">
        <f>IF(I145&lt;&gt;0,I145/100*F145/Budget!$H$6,0)</f>
        <v>0</v>
      </c>
    </row>
    <row r="146" spans="1:11" ht="12.75">
      <c r="A146" s="130">
        <f>Vehicles!A48</f>
        <v>0</v>
      </c>
      <c r="B146" s="136">
        <f>Vehicles!G48</f>
        <v>0</v>
      </c>
      <c r="C146" s="141">
        <f>Vehicles!H48</f>
      </c>
      <c r="D146" s="136">
        <f>Vehicles!E48</f>
        <v>0</v>
      </c>
      <c r="E146" s="122">
        <f>Vehicles!F48</f>
        <v>0</v>
      </c>
      <c r="F146" s="139">
        <f>IF(B146&lt;&gt;0,((B146-C146)*Vehicles!N48)+('Fixed Costs'!C146*'Prices &amp; Rates'!$C$4/100),0)</f>
        <v>0</v>
      </c>
      <c r="G146" s="136">
        <f>Vehicles!J48+Vehicles!K48</f>
        <v>0</v>
      </c>
      <c r="H146" s="139">
        <f t="shared" si="2"/>
        <v>0</v>
      </c>
      <c r="I146" s="176">
        <f>Vehicles!O48</f>
        <v>0</v>
      </c>
      <c r="J146" s="132">
        <f>IF(I146&lt;&gt;0,I146/100*G146/Budget!$H$6,0)</f>
        <v>0</v>
      </c>
      <c r="K146" s="133">
        <f>IF(I146&lt;&gt;0,I146/100*F146/Budget!$H$6,0)</f>
        <v>0</v>
      </c>
    </row>
    <row r="147" spans="1:11" ht="12.75">
      <c r="A147" s="130">
        <f>Vehicles!A49</f>
        <v>0</v>
      </c>
      <c r="B147" s="136">
        <f>Vehicles!G49</f>
        <v>0</v>
      </c>
      <c r="C147" s="141">
        <f>Vehicles!H49</f>
      </c>
      <c r="D147" s="136">
        <f>Vehicles!E49</f>
        <v>0</v>
      </c>
      <c r="E147" s="122">
        <f>Vehicles!F49</f>
        <v>0</v>
      </c>
      <c r="F147" s="139">
        <f>IF(B147&lt;&gt;0,((B147-C147)*Vehicles!N49)+('Fixed Costs'!C147*'Prices &amp; Rates'!$C$4/100),0)</f>
        <v>0</v>
      </c>
      <c r="G147" s="136">
        <f>Vehicles!J49+Vehicles!K49</f>
        <v>0</v>
      </c>
      <c r="H147" s="139">
        <f t="shared" si="2"/>
        <v>0</v>
      </c>
      <c r="I147" s="176">
        <f>Vehicles!O49</f>
        <v>0</v>
      </c>
      <c r="J147" s="132">
        <f>IF(I147&lt;&gt;0,I147/100*G147/Budget!$H$6,0)</f>
        <v>0</v>
      </c>
      <c r="K147" s="133">
        <f>IF(I147&lt;&gt;0,I147/100*F147/Budget!$H$6,0)</f>
        <v>0</v>
      </c>
    </row>
    <row r="148" spans="1:11" ht="12.75">
      <c r="A148" s="130">
        <f>Vehicles!A50</f>
        <v>0</v>
      </c>
      <c r="B148" s="136">
        <f>Vehicles!G50</f>
        <v>0</v>
      </c>
      <c r="C148" s="141">
        <f>Vehicles!H50</f>
      </c>
      <c r="D148" s="136">
        <f>Vehicles!E50</f>
        <v>0</v>
      </c>
      <c r="E148" s="122">
        <f>Vehicles!F50</f>
        <v>0</v>
      </c>
      <c r="F148" s="139">
        <f>IF(B148&lt;&gt;0,((B148-C148)*Vehicles!N50)+('Fixed Costs'!C148*'Prices &amp; Rates'!$C$4/100),0)</f>
        <v>0</v>
      </c>
      <c r="G148" s="136">
        <f>Vehicles!J50+Vehicles!K50</f>
        <v>0</v>
      </c>
      <c r="H148" s="139">
        <f t="shared" si="2"/>
        <v>0</v>
      </c>
      <c r="I148" s="176">
        <f>Vehicles!O50</f>
        <v>0</v>
      </c>
      <c r="J148" s="132">
        <f>IF(I148&lt;&gt;0,I148/100*G148/Budget!$H$6,0)</f>
        <v>0</v>
      </c>
      <c r="K148" s="133">
        <f>IF(I148&lt;&gt;0,I148/100*F148/Budget!$H$6,0)</f>
        <v>0</v>
      </c>
    </row>
    <row r="149" spans="1:11" ht="12.75">
      <c r="A149" s="130">
        <f>Vehicles!A51</f>
        <v>0</v>
      </c>
      <c r="B149" s="136">
        <f>Vehicles!G51</f>
        <v>0</v>
      </c>
      <c r="C149" s="141">
        <f>Vehicles!H51</f>
        <v>0</v>
      </c>
      <c r="D149" s="136">
        <f>Vehicles!E51</f>
        <v>0</v>
      </c>
      <c r="E149" s="122">
        <f>Vehicles!F51</f>
        <v>0</v>
      </c>
      <c r="F149" s="139">
        <f>IF(B149&lt;&gt;0,((B149-C149)*Vehicles!N51)+('Fixed Costs'!C149*'Prices &amp; Rates'!$C$4/100),0)</f>
        <v>0</v>
      </c>
      <c r="G149" s="136">
        <f>Vehicles!J51+Vehicles!K51</f>
        <v>0</v>
      </c>
      <c r="H149" s="139">
        <f t="shared" si="2"/>
        <v>0</v>
      </c>
      <c r="I149" s="176">
        <f>Vehicles!O51</f>
        <v>0</v>
      </c>
      <c r="J149" s="132">
        <f>IF(I149&lt;&gt;0,I149/100*G149/Budget!$H$6,0)</f>
        <v>0</v>
      </c>
      <c r="K149" s="133">
        <f>IF(I149&lt;&gt;0,I149/100*F149/Budget!$H$6,0)</f>
        <v>0</v>
      </c>
    </row>
    <row r="150" spans="1:11" ht="12.75">
      <c r="A150" s="130">
        <f>Vehicles!A52</f>
        <v>0</v>
      </c>
      <c r="B150" s="136">
        <f>Vehicles!G52</f>
        <v>0</v>
      </c>
      <c r="C150" s="141">
        <f>Vehicles!H52</f>
        <v>0</v>
      </c>
      <c r="D150" s="136">
        <f>Vehicles!E52</f>
        <v>0</v>
      </c>
      <c r="E150" s="122">
        <f>Vehicles!F52</f>
        <v>0</v>
      </c>
      <c r="F150" s="139">
        <f>IF(B150&lt;&gt;0,((B150-C150)*Vehicles!N52)+('Fixed Costs'!C150*'Prices &amp; Rates'!$C$4/100),0)</f>
        <v>0</v>
      </c>
      <c r="G150" s="136">
        <f>Vehicles!J52+Vehicles!K52</f>
        <v>0</v>
      </c>
      <c r="H150" s="139">
        <f t="shared" si="2"/>
        <v>0</v>
      </c>
      <c r="I150" s="176">
        <f>Vehicles!O52</f>
        <v>0</v>
      </c>
      <c r="J150" s="132">
        <f>IF(I150&lt;&gt;0,I150/100*G150/Budget!$H$6,0)</f>
        <v>0</v>
      </c>
      <c r="K150" s="133">
        <f>IF(I150&lt;&gt;0,I150/100*F150/Budget!$H$6,0)</f>
        <v>0</v>
      </c>
    </row>
    <row r="151" spans="1:11" ht="12.75">
      <c r="A151" s="130">
        <f>Vehicles!A53</f>
        <v>0</v>
      </c>
      <c r="B151" s="136">
        <f>Vehicles!G53</f>
        <v>0</v>
      </c>
      <c r="C151" s="141">
        <f>Vehicles!H53</f>
        <v>0</v>
      </c>
      <c r="D151" s="136">
        <f>Vehicles!E53</f>
        <v>0</v>
      </c>
      <c r="E151" s="122">
        <f>Vehicles!F53</f>
        <v>0</v>
      </c>
      <c r="F151" s="139">
        <f>IF(B151&lt;&gt;0,((B151-C151)*Vehicles!N53)+('Fixed Costs'!C151*'Prices &amp; Rates'!$C$4/100),0)</f>
        <v>0</v>
      </c>
      <c r="G151" s="136">
        <f>Vehicles!J53+Vehicles!K53</f>
        <v>0</v>
      </c>
      <c r="H151" s="139">
        <f t="shared" si="2"/>
        <v>0</v>
      </c>
      <c r="I151" s="176">
        <f>Vehicles!O53</f>
        <v>0</v>
      </c>
      <c r="J151" s="132">
        <f>IF(I151&lt;&gt;0,I151/100*G151/Budget!$H$6,0)</f>
        <v>0</v>
      </c>
      <c r="K151" s="133">
        <f>IF(I151&lt;&gt;0,I151/100*F151/Budget!$H$6,0)</f>
        <v>0</v>
      </c>
    </row>
    <row r="152" spans="1:11" ht="12.75">
      <c r="A152" s="130">
        <f>Vehicles!A54</f>
        <v>0</v>
      </c>
      <c r="B152" s="136">
        <f>Vehicles!G54</f>
        <v>0</v>
      </c>
      <c r="C152" s="141">
        <f>Vehicles!H54</f>
        <v>0</v>
      </c>
      <c r="D152" s="136">
        <f>Vehicles!E54</f>
        <v>0</v>
      </c>
      <c r="E152" s="122">
        <f>Vehicles!F54</f>
        <v>0</v>
      </c>
      <c r="F152" s="139">
        <f>IF(B152&lt;&gt;0,((B152-C152)*Vehicles!N54)+('Fixed Costs'!C152*'Prices &amp; Rates'!$C$4/100),0)</f>
        <v>0</v>
      </c>
      <c r="G152" s="136">
        <f>Vehicles!J54+Vehicles!K54</f>
        <v>0</v>
      </c>
      <c r="H152" s="139">
        <f t="shared" si="2"/>
        <v>0</v>
      </c>
      <c r="I152" s="176">
        <f>Vehicles!O54</f>
        <v>0</v>
      </c>
      <c r="J152" s="132">
        <f>IF(I152&lt;&gt;0,I152/100*G152/Budget!$H$6,0)</f>
        <v>0</v>
      </c>
      <c r="K152" s="133">
        <f>IF(I152&lt;&gt;0,I152/100*F152/Budget!$H$6,0)</f>
        <v>0</v>
      </c>
    </row>
    <row r="153" spans="1:11" ht="12.75">
      <c r="A153" s="130">
        <f>Vehicles!A55</f>
        <v>0</v>
      </c>
      <c r="B153" s="136">
        <f>Vehicles!G55</f>
        <v>0</v>
      </c>
      <c r="C153" s="141">
        <f>Vehicles!H55</f>
        <v>0</v>
      </c>
      <c r="D153" s="136">
        <f>Vehicles!E55</f>
        <v>0</v>
      </c>
      <c r="E153" s="122">
        <f>Vehicles!F55</f>
        <v>0</v>
      </c>
      <c r="F153" s="139">
        <f>IF(B153&lt;&gt;0,((B153-C153)*Vehicles!N55)+('Fixed Costs'!C153*'Prices &amp; Rates'!$C$4/100),0)</f>
        <v>0</v>
      </c>
      <c r="G153" s="136">
        <f>Vehicles!J55+Vehicles!K55</f>
        <v>0</v>
      </c>
      <c r="H153" s="139">
        <f t="shared" si="2"/>
        <v>0</v>
      </c>
      <c r="I153" s="176">
        <f>Vehicles!O55</f>
        <v>0</v>
      </c>
      <c r="J153" s="132">
        <f>IF(I153&lt;&gt;0,I153/100*G153/Budget!$H$6,0)</f>
        <v>0</v>
      </c>
      <c r="K153" s="133">
        <f>IF(I153&lt;&gt;0,I153/100*F153/Budget!$H$6,0)</f>
        <v>0</v>
      </c>
    </row>
    <row r="154" spans="1:11" ht="13.5" thickBot="1">
      <c r="A154" s="149">
        <f>Vehicles!A56</f>
        <v>0</v>
      </c>
      <c r="B154" s="150">
        <f>Vehicles!G56</f>
        <v>0</v>
      </c>
      <c r="C154" s="151">
        <f>Vehicles!H56</f>
        <v>0</v>
      </c>
      <c r="D154" s="150">
        <f>Vehicles!E56</f>
        <v>0</v>
      </c>
      <c r="E154" s="152">
        <f>Vehicles!F56</f>
        <v>0</v>
      </c>
      <c r="F154" s="153">
        <f>IF(B154&lt;&gt;0,((B154-C154)*Vehicles!N56)+('Fixed Costs'!C154*'Prices &amp; Rates'!$C$4/100),0)</f>
        <v>0</v>
      </c>
      <c r="G154" s="150">
        <f>Vehicles!J56+Vehicles!K56</f>
        <v>0</v>
      </c>
      <c r="H154" s="153">
        <f t="shared" si="2"/>
        <v>0</v>
      </c>
      <c r="I154" s="182">
        <f>Vehicles!O56</f>
        <v>0</v>
      </c>
      <c r="J154" s="154">
        <f>IF(I154&lt;&gt;0,I154/100*G154/Budget!$H$6,0)</f>
        <v>0</v>
      </c>
      <c r="K154" s="155">
        <f>IF(I154&lt;&gt;0,I154/100*F154/Budget!$H$6,0)</f>
        <v>0</v>
      </c>
    </row>
  </sheetData>
  <sheetProtection sheet="1" objects="1" scenarios="1"/>
  <printOptions/>
  <pageMargins left="0.75" right="0.75" top="1" bottom="1" header="0.5" footer="0.5"/>
  <pageSetup fitToHeight="2" fitToWidth="1" horizontalDpi="600" verticalDpi="600" orientation="portrait"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eleveldb</cp:lastModifiedBy>
  <cp:lastPrinted>2003-01-12T19:42:02Z</cp:lastPrinted>
  <dcterms:created xsi:type="dcterms:W3CDTF">1998-01-28T23:45:48Z</dcterms:created>
  <dcterms:modified xsi:type="dcterms:W3CDTF">2003-01-12T19:42:39Z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1875147209</vt:i4>
  </property>
  <property fmtid="{D5CDD505-2E9C-101B-9397-08002B2CF9AE}" pid="3" name="_EmailSubject">
    <vt:lpwstr>New Crop Budget Format Version 2.3, Version 2.4 Attached</vt:lpwstr>
  </property>
  <property fmtid="{D5CDD505-2E9C-101B-9397-08002B2CF9AE}" pid="4" name="_AuthorEmail">
    <vt:lpwstr>jim-shine@attbi.com</vt:lpwstr>
  </property>
  <property fmtid="{D5CDD505-2E9C-101B-9397-08002B2CF9AE}" pid="5" name="_AuthorEmailDisplayName">
    <vt:lpwstr>Jim Smith</vt:lpwstr>
  </property>
  <property fmtid="{D5CDD505-2E9C-101B-9397-08002B2CF9AE}" pid="6" name="_PreviousAdHocReviewCycleID">
    <vt:i4>609065713</vt:i4>
  </property>
</Properties>
</file>